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 defaultThemeVersion="124226"/>
  <bookViews>
    <workbookView xWindow="-120" yWindow="-120" windowWidth="20730" windowHeight="11160" tabRatio="811" firstSheet="14" activeTab="26"/>
  </bookViews>
  <sheets>
    <sheet name="BDI" sheetId="22" r:id="rId1"/>
    <sheet name="COMP" sheetId="23" r:id="rId2"/>
    <sheet name="RUA 1" sheetId="24" r:id="rId3"/>
    <sheet name="MEMORIAL 1" sheetId="25" r:id="rId4"/>
    <sheet name="RUA 2" sheetId="28" r:id="rId5"/>
    <sheet name="MEMORIAL 2" sheetId="27" r:id="rId6"/>
    <sheet name="RUA 3" sheetId="29" r:id="rId7"/>
    <sheet name="MEMORIAL 3" sheetId="30" r:id="rId8"/>
    <sheet name="RUA 4" sheetId="39" r:id="rId9"/>
    <sheet name="MEMORIAL 4" sheetId="40" r:id="rId10"/>
    <sheet name="RUA 5" sheetId="41" r:id="rId11"/>
    <sheet name="MEMORIAL 5" sheetId="42" r:id="rId12"/>
    <sheet name="RUA 6" sheetId="43" r:id="rId13"/>
    <sheet name="MEMORIAL 6" sheetId="44" r:id="rId14"/>
    <sheet name="RUA 7" sheetId="45" r:id="rId15"/>
    <sheet name="MEMORIAL 7" sheetId="46" r:id="rId16"/>
    <sheet name="RUA 8" sheetId="47" r:id="rId17"/>
    <sheet name="MEMORIAL 8" sheetId="48" r:id="rId18"/>
    <sheet name="RUA 9" sheetId="49" r:id="rId19"/>
    <sheet name="MEMORIAL 9" sheetId="50" r:id="rId20"/>
    <sheet name="RUA 10" sheetId="51" r:id="rId21"/>
    <sheet name="MEMORIAL 10" sheetId="52" r:id="rId22"/>
    <sheet name="AJUSTE_BDI" sheetId="53" r:id="rId23"/>
    <sheet name="COTAÇÃO" sheetId="54" r:id="rId24"/>
    <sheet name="RESUMO" sheetId="26" r:id="rId25"/>
    <sheet name="CRONOGRAMA" sheetId="38" r:id="rId26"/>
    <sheet name="QCI " sheetId="37" r:id="rId27"/>
  </sheets>
  <externalReferences>
    <externalReference r:id="rId28"/>
  </externalReferences>
  <definedNames>
    <definedName name="_xlnm.Print_Area" localSheetId="22">AJUSTE_BDI!$A$1:$H$40</definedName>
    <definedName name="_xlnm.Print_Area" localSheetId="0">BDI!$A$1:$N$27</definedName>
    <definedName name="_xlnm.Print_Area" localSheetId="1">COMP!$B$1:$L$612</definedName>
    <definedName name="_xlnm.Print_Area" localSheetId="23">COTAÇÃO!$A$1:$F$40</definedName>
    <definedName name="_xlnm.Print_Area" localSheetId="25">CRONOGRAMA!$A$1:$Z$45</definedName>
    <definedName name="_xlnm.Print_Area" localSheetId="3">'MEMORIAL 1'!$A$1:$AI$230</definedName>
    <definedName name="_xlnm.Print_Area" localSheetId="21">'MEMORIAL 10'!$A$2:$AI$198</definedName>
    <definedName name="_xlnm.Print_Area" localSheetId="5">'MEMORIAL 2'!$A$2:$AI$275</definedName>
    <definedName name="_xlnm.Print_Area" localSheetId="7">'MEMORIAL 3'!$A$2:$AI$258</definedName>
    <definedName name="_xlnm.Print_Area" localSheetId="9">'MEMORIAL 4'!$A$1:$AI$130</definedName>
    <definedName name="_xlnm.Print_Area" localSheetId="11">'MEMORIAL 5'!$A$2:$AI$260</definedName>
    <definedName name="_xlnm.Print_Area" localSheetId="13">'MEMORIAL 6'!$A$2:$AI$250</definedName>
    <definedName name="_xlnm.Print_Area" localSheetId="15">'MEMORIAL 7'!$A$2:$AI$156</definedName>
    <definedName name="_xlnm.Print_Area" localSheetId="17">'MEMORIAL 8'!$A$1:$AI$233</definedName>
    <definedName name="_xlnm.Print_Area" localSheetId="19">'MEMORIAL 9'!$A$2:$AI$165</definedName>
    <definedName name="_xlnm.Print_Area" localSheetId="26">'QCI '!$A$1:$AG$58</definedName>
    <definedName name="_xlnm.Print_Area" localSheetId="24">RESUMO!$B$3:$N$57</definedName>
    <definedName name="_xlnm.Print_Area" localSheetId="2">'RUA 1'!$B$1:$I$55</definedName>
    <definedName name="_xlnm.Print_Area" localSheetId="20">'RUA 10'!$B$1:$I$43</definedName>
    <definedName name="_xlnm.Print_Area" localSheetId="4">'RUA 2'!$B$1:$I$55</definedName>
    <definedName name="_xlnm.Print_Area" localSheetId="6">'RUA 3'!$B$1:$I$55</definedName>
    <definedName name="_xlnm.Print_Area" localSheetId="8">'RUA 4'!$B$1:$I$43</definedName>
    <definedName name="_xlnm.Print_Area" localSheetId="10">'RUA 5'!$B$1:$I$55</definedName>
    <definedName name="_xlnm.Print_Area" localSheetId="12">'RUA 6'!$B$1:$I$55</definedName>
    <definedName name="_xlnm.Print_Area" localSheetId="14">'RUA 7'!$B$1:$I$43</definedName>
    <definedName name="_xlnm.Print_Area" localSheetId="16">'RUA 8'!$B$1:$I$55</definedName>
    <definedName name="_xlnm.Print_Area" localSheetId="18">'RUA 9'!$B$1:$I$43</definedName>
    <definedName name="eu" localSheetId="23" hidden="1">{#N/A,#N/A,FALSE,"MO (2)"}</definedName>
    <definedName name="eu" hidden="1">{#N/A,#N/A,FALSE,"MO (2)"}</definedName>
    <definedName name="FatSabadoOut">'[1]TrafContExpan-NoPrint'!$O$5</definedName>
    <definedName name="FatSextaOut">'[1]TrafContExpan-NoPrint'!$O$4</definedName>
    <definedName name="Quadra" localSheetId="23" hidden="1">{#N/A,#N/A,FALSE,"MO (2)"}</definedName>
    <definedName name="Quadra" hidden="1">{#N/A,#N/A,FALSE,"MO (2)"}</definedName>
    <definedName name="quadra2" localSheetId="23" hidden="1">{#N/A,#N/A,FALSE,"MO (2)"}</definedName>
    <definedName name="quadra2" hidden="1">{#N/A,#N/A,FALSE,"MO (2)"}</definedName>
    <definedName name="Quantidades" localSheetId="23" hidden="1">{#N/A,#N/A,FALSE,"MO (2)"}</definedName>
    <definedName name="Quantidades" hidden="1">{#N/A,#N/A,FALSE,"MO (2)"}</definedName>
    <definedName name="s" localSheetId="23" hidden="1">{#N/A,#N/A,FALSE,"MO (2)"}</definedName>
    <definedName name="s" hidden="1">{#N/A,#N/A,FALSE,"MO (2)"}</definedName>
    <definedName name="_xlnm.Print_Titles" localSheetId="25">CRONOGRAMA!$A:$H</definedName>
    <definedName name="_xlnm.Print_Titles" localSheetId="24">RESUMO!$B:$D</definedName>
    <definedName name="TxCresc">'[1]TodasTraf-2000-NoPrint'!$C$7:$L$17</definedName>
    <definedName name="wrn.mo2." localSheetId="23" hidden="1">{#N/A,#N/A,FALSE,"MO (2)"}</definedName>
    <definedName name="wrn.mo2." hidden="1">{#N/A,#N/A,FALSE,"MO (2)"}</definedName>
  </definedNames>
  <calcPr calcId="12451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9" i="25"/>
  <c r="J557" i="23" l="1"/>
  <c r="J556"/>
  <c r="O107" l="1"/>
  <c r="O16"/>
  <c r="N184" i="44" l="1"/>
  <c r="Q77" i="23" l="1"/>
  <c r="N160" i="52" l="1"/>
  <c r="E21" l="1"/>
  <c r="E20"/>
  <c r="E19"/>
  <c r="C173"/>
  <c r="F127"/>
  <c r="N127" s="1"/>
  <c r="F122"/>
  <c r="F150" s="1"/>
  <c r="N150" s="1"/>
  <c r="F123"/>
  <c r="N123" s="1"/>
  <c r="F124"/>
  <c r="F152" s="1"/>
  <c r="N152" s="1"/>
  <c r="F125"/>
  <c r="N125" s="1"/>
  <c r="F126"/>
  <c r="F154" s="1"/>
  <c r="N154" s="1"/>
  <c r="N122"/>
  <c r="N124"/>
  <c r="E90"/>
  <c r="E89"/>
  <c r="E88"/>
  <c r="E76"/>
  <c r="E75"/>
  <c r="E74"/>
  <c r="D18" i="53"/>
  <c r="N126" i="52" l="1"/>
  <c r="F155"/>
  <c r="N155" s="1"/>
  <c r="F151"/>
  <c r="N151" s="1"/>
  <c r="F153"/>
  <c r="N153" s="1"/>
  <c r="C11" i="47" l="1"/>
  <c r="C11" i="39"/>
  <c r="I593" i="23"/>
  <c r="G595" s="1"/>
  <c r="I595" s="1"/>
  <c r="I597" s="1"/>
  <c r="H555"/>
  <c r="H554"/>
  <c r="H553"/>
  <c r="J593" l="1"/>
  <c r="G594" s="1"/>
  <c r="J594" s="1"/>
  <c r="J597" s="1"/>
  <c r="H593"/>
  <c r="G596" s="1"/>
  <c r="H596" s="1"/>
  <c r="H597" s="1"/>
  <c r="K593" l="1"/>
  <c r="K597"/>
  <c r="G598" l="1"/>
  <c r="K598" s="1"/>
  <c r="K599" s="1"/>
  <c r="G600" s="1"/>
  <c r="K600" s="1"/>
  <c r="K601" s="1"/>
  <c r="G466" s="1"/>
  <c r="J496" l="1"/>
  <c r="I496"/>
  <c r="G498" s="1"/>
  <c r="I498" s="1"/>
  <c r="I500" s="1"/>
  <c r="H469"/>
  <c r="H468"/>
  <c r="H467"/>
  <c r="H466"/>
  <c r="H465"/>
  <c r="H464"/>
  <c r="H463"/>
  <c r="H496" l="1"/>
  <c r="G499" s="1"/>
  <c r="H499" s="1"/>
  <c r="H500" s="1"/>
  <c r="G497"/>
  <c r="J497" s="1"/>
  <c r="J500" s="1"/>
  <c r="K496" l="1"/>
  <c r="K500"/>
  <c r="G501" s="1"/>
  <c r="K501" s="1"/>
  <c r="K502" s="1"/>
  <c r="G503" s="1"/>
  <c r="K503" s="1"/>
  <c r="K504" s="1"/>
  <c r="K45" i="41" s="1"/>
  <c r="G168" i="42" l="1"/>
  <c r="G174" i="30" l="1"/>
  <c r="F91"/>
  <c r="E25" i="54" l="1"/>
  <c r="F24"/>
  <c r="F23"/>
  <c r="F22"/>
  <c r="F25" s="1"/>
  <c r="K30" i="28" l="1"/>
  <c r="D36" i="53"/>
  <c r="B39" s="1"/>
  <c r="D27"/>
  <c r="B30" s="1"/>
  <c r="B21"/>
  <c r="Y44" i="38" l="1"/>
  <c r="S44"/>
  <c r="J44"/>
  <c r="W13"/>
  <c r="Y15"/>
  <c r="V41"/>
  <c r="T41"/>
  <c r="V39"/>
  <c r="Z37"/>
  <c r="T37"/>
  <c r="V33"/>
  <c r="T31"/>
  <c r="V27"/>
  <c r="T27"/>
  <c r="Z25"/>
  <c r="T25"/>
  <c r="R23"/>
  <c r="M41"/>
  <c r="N41" s="1"/>
  <c r="K41"/>
  <c r="M39"/>
  <c r="N39" s="1"/>
  <c r="K39"/>
  <c r="Q37"/>
  <c r="K37"/>
  <c r="M33"/>
  <c r="K33"/>
  <c r="K31"/>
  <c r="V44" l="1"/>
  <c r="M44"/>
  <c r="Q41"/>
  <c r="Q39"/>
  <c r="Q33"/>
  <c r="W41" l="1"/>
  <c r="W39"/>
  <c r="C42" i="48"/>
  <c r="B77" i="42"/>
  <c r="E42" i="40"/>
  <c r="C43" s="1"/>
  <c r="E34"/>
  <c r="E77" i="30"/>
  <c r="E69"/>
  <c r="E68" i="27"/>
  <c r="E76"/>
  <c r="B77" s="1"/>
  <c r="B53" i="25"/>
  <c r="F21"/>
  <c r="AK20"/>
  <c r="AK42"/>
  <c r="B85" i="52"/>
  <c r="G107" i="42"/>
  <c r="G69" i="40"/>
  <c r="G16" i="52"/>
  <c r="B16"/>
  <c r="C22" s="1"/>
  <c r="G16" i="50"/>
  <c r="B16"/>
  <c r="G16" i="44"/>
  <c r="B16"/>
  <c r="G16" i="42"/>
  <c r="B16"/>
  <c r="C18" i="44" l="1"/>
  <c r="G22" i="43" s="1"/>
  <c r="C18" i="42"/>
  <c r="G22" i="41" s="1"/>
  <c r="G22" i="51"/>
  <c r="Z33" i="38"/>
  <c r="W33"/>
  <c r="C18" i="50"/>
  <c r="G22" i="49" s="1"/>
  <c r="C58" i="26"/>
  <c r="G129" i="52"/>
  <c r="N17" i="26"/>
  <c r="B243" i="30"/>
  <c r="G46" i="29" s="1"/>
  <c r="B260" i="27"/>
  <c r="G46" i="28" s="1"/>
  <c r="B215" i="25"/>
  <c r="G46" i="24" s="1"/>
  <c r="N209" i="27"/>
  <c r="N208"/>
  <c r="N164" i="25"/>
  <c r="N163"/>
  <c r="N167" i="48"/>
  <c r="N166"/>
  <c r="G166" i="44"/>
  <c r="G46" i="41" l="1"/>
  <c r="G45"/>
  <c r="J178" i="42"/>
  <c r="B251"/>
  <c r="G48" i="41" s="1"/>
  <c r="B245" i="42"/>
  <c r="G47" i="41" s="1"/>
  <c r="R223" i="42"/>
  <c r="V223" s="1"/>
  <c r="N179"/>
  <c r="N178"/>
  <c r="J187" s="1"/>
  <c r="N177"/>
  <c r="N168"/>
  <c r="C170" s="1"/>
  <c r="K48" i="41"/>
  <c r="K46"/>
  <c r="K44"/>
  <c r="K43"/>
  <c r="K41"/>
  <c r="K40"/>
  <c r="K39"/>
  <c r="V179" i="42" l="1"/>
  <c r="J188"/>
  <c r="R188" s="1"/>
  <c r="J186"/>
  <c r="R187"/>
  <c r="V178"/>
  <c r="G39" i="41" l="1"/>
  <c r="G177" i="42"/>
  <c r="G186" l="1"/>
  <c r="V177"/>
  <c r="C181" s="1"/>
  <c r="G40" i="41" l="1"/>
  <c r="G213" i="42"/>
  <c r="G197"/>
  <c r="R186"/>
  <c r="C190" s="1"/>
  <c r="G41" i="41" s="1"/>
  <c r="N192" i="30"/>
  <c r="N191"/>
  <c r="G220" i="42" l="1"/>
  <c r="N220" s="1"/>
  <c r="V197"/>
  <c r="C199" s="1"/>
  <c r="G205"/>
  <c r="C207" s="1"/>
  <c r="G43" i="41" s="1"/>
  <c r="G45" i="29"/>
  <c r="G45" i="28"/>
  <c r="G47" i="29"/>
  <c r="R227" i="30"/>
  <c r="V227" s="1"/>
  <c r="R192"/>
  <c r="J191"/>
  <c r="N184"/>
  <c r="V184" s="1"/>
  <c r="N183"/>
  <c r="N174"/>
  <c r="C176" s="1"/>
  <c r="B266" i="27"/>
  <c r="G47" i="28" s="1"/>
  <c r="R244" i="27"/>
  <c r="V244" s="1"/>
  <c r="N201"/>
  <c r="N200"/>
  <c r="J208" s="1"/>
  <c r="N191"/>
  <c r="C193" s="1"/>
  <c r="G200" s="1"/>
  <c r="G217" i="42" l="1"/>
  <c r="D225" s="1"/>
  <c r="B227" s="1"/>
  <c r="G44" i="41" s="1"/>
  <c r="G42"/>
  <c r="V201" i="27"/>
  <c r="J209"/>
  <c r="R209" s="1"/>
  <c r="G183" i="30"/>
  <c r="G191" s="1"/>
  <c r="G39" i="29"/>
  <c r="G39" i="28"/>
  <c r="G208" i="27"/>
  <c r="V200"/>
  <c r="C203" l="1"/>
  <c r="G40" i="28" s="1"/>
  <c r="V183" i="30"/>
  <c r="C186" s="1"/>
  <c r="G201"/>
  <c r="R191"/>
  <c r="C194" s="1"/>
  <c r="G41" i="29" s="1"/>
  <c r="G234" i="27"/>
  <c r="G218"/>
  <c r="R208"/>
  <c r="C211" s="1"/>
  <c r="G41" i="28" s="1"/>
  <c r="M20" i="26"/>
  <c r="L20"/>
  <c r="K20"/>
  <c r="J20"/>
  <c r="I20"/>
  <c r="H20"/>
  <c r="G45" i="47"/>
  <c r="G45" i="24"/>
  <c r="K40" i="47"/>
  <c r="K41"/>
  <c r="K43"/>
  <c r="K44"/>
  <c r="K45"/>
  <c r="K47"/>
  <c r="K39"/>
  <c r="K40" i="43"/>
  <c r="K41"/>
  <c r="K43"/>
  <c r="K44"/>
  <c r="K45"/>
  <c r="K47"/>
  <c r="K39"/>
  <c r="K40" i="29"/>
  <c r="K41"/>
  <c r="K43"/>
  <c r="K44"/>
  <c r="K45"/>
  <c r="K47"/>
  <c r="K39"/>
  <c r="K40" i="28"/>
  <c r="K41"/>
  <c r="K43"/>
  <c r="K44"/>
  <c r="K45"/>
  <c r="K47"/>
  <c r="K39"/>
  <c r="G47" i="47"/>
  <c r="B218" i="48"/>
  <c r="G46" i="47" s="1"/>
  <c r="R202" i="48"/>
  <c r="V202" s="1"/>
  <c r="R167"/>
  <c r="J166"/>
  <c r="N159"/>
  <c r="V159" s="1"/>
  <c r="N158"/>
  <c r="N149"/>
  <c r="C151" s="1"/>
  <c r="B221" i="25"/>
  <c r="G47" i="24" s="1"/>
  <c r="N156" i="25"/>
  <c r="N155"/>
  <c r="J163" s="1"/>
  <c r="N146"/>
  <c r="C148" s="1"/>
  <c r="B29" i="38" l="1"/>
  <c r="C27" i="37"/>
  <c r="B39" i="38"/>
  <c r="C32" i="37"/>
  <c r="B35" i="38"/>
  <c r="C30" i="37"/>
  <c r="B37" i="38"/>
  <c r="C31" i="37"/>
  <c r="B33" i="38"/>
  <c r="C29" i="37"/>
  <c r="B31" i="38"/>
  <c r="C28" i="37"/>
  <c r="G40" i="29"/>
  <c r="G217" i="30"/>
  <c r="V156" i="25"/>
  <c r="J164"/>
  <c r="G39" i="47"/>
  <c r="G158" i="48"/>
  <c r="G166" s="1"/>
  <c r="G176" s="1"/>
  <c r="G184" s="1"/>
  <c r="C186" s="1"/>
  <c r="G43" i="47" s="1"/>
  <c r="V201" i="30"/>
  <c r="C203" s="1"/>
  <c r="G209"/>
  <c r="C211" s="1"/>
  <c r="G43" i="29" s="1"/>
  <c r="G224" i="30"/>
  <c r="N224" s="1"/>
  <c r="V218" i="27"/>
  <c r="C220" s="1"/>
  <c r="G241"/>
  <c r="N241" s="1"/>
  <c r="G226"/>
  <c r="C228" s="1"/>
  <c r="G43" i="28" s="1"/>
  <c r="G39" i="24"/>
  <c r="G155" i="25"/>
  <c r="G163" s="1"/>
  <c r="G173" s="1"/>
  <c r="G181" s="1"/>
  <c r="C183" s="1"/>
  <c r="G43" i="24" s="1"/>
  <c r="G71" i="52"/>
  <c r="B71"/>
  <c r="B79" s="1"/>
  <c r="G67" i="50"/>
  <c r="B67"/>
  <c r="B68" s="1"/>
  <c r="G27" i="49" s="1"/>
  <c r="G32" i="48"/>
  <c r="B32"/>
  <c r="B34" s="1"/>
  <c r="G67" i="46"/>
  <c r="B67"/>
  <c r="G67" i="44"/>
  <c r="B67"/>
  <c r="G67" i="42"/>
  <c r="B67"/>
  <c r="B69" s="1"/>
  <c r="G33" i="40"/>
  <c r="B33"/>
  <c r="B35" s="1"/>
  <c r="G68" i="30"/>
  <c r="B68"/>
  <c r="G67" i="27"/>
  <c r="B67"/>
  <c r="B69" s="1"/>
  <c r="G38" i="25"/>
  <c r="B38"/>
  <c r="F43"/>
  <c r="B68" i="46" l="1"/>
  <c r="G27" i="45" s="1"/>
  <c r="B69" i="44"/>
  <c r="B70" i="30"/>
  <c r="G27" i="29" s="1"/>
  <c r="V199" i="25"/>
  <c r="R164"/>
  <c r="B41"/>
  <c r="C45" s="1"/>
  <c r="G27" i="24" s="1"/>
  <c r="G27" i="43"/>
  <c r="G27" i="51"/>
  <c r="G27" i="39"/>
  <c r="V173" i="25"/>
  <c r="C175" s="1"/>
  <c r="G196"/>
  <c r="N196" s="1"/>
  <c r="R163"/>
  <c r="V176" i="48"/>
  <c r="C178" s="1"/>
  <c r="G199"/>
  <c r="N199" s="1"/>
  <c r="R166"/>
  <c r="C169" s="1"/>
  <c r="G41" i="47" s="1"/>
  <c r="G27"/>
  <c r="V158" i="48"/>
  <c r="C161" s="1"/>
  <c r="G40" i="47" s="1"/>
  <c r="G27" i="41"/>
  <c r="G221" i="30"/>
  <c r="D229" s="1"/>
  <c r="B231" s="1"/>
  <c r="G42" i="29"/>
  <c r="G238" i="27"/>
  <c r="D246" s="1"/>
  <c r="B248" s="1"/>
  <c r="G42" i="28"/>
  <c r="G27"/>
  <c r="V155" i="25"/>
  <c r="C158" s="1"/>
  <c r="F53" i="40"/>
  <c r="G40" i="24" l="1"/>
  <c r="G189" i="25"/>
  <c r="C166"/>
  <c r="G41" i="24" s="1"/>
  <c r="G192" i="48"/>
  <c r="G196"/>
  <c r="D204" s="1"/>
  <c r="G42" i="47"/>
  <c r="G44" i="29"/>
  <c r="G44" i="28"/>
  <c r="G193" i="25"/>
  <c r="D201" s="1"/>
  <c r="G42" i="24"/>
  <c r="F119" i="27"/>
  <c r="F120"/>
  <c r="F121"/>
  <c r="F122"/>
  <c r="F123"/>
  <c r="F124"/>
  <c r="F125"/>
  <c r="F118"/>
  <c r="F55" i="25"/>
  <c r="N177" i="23"/>
  <c r="N176"/>
  <c r="J155"/>
  <c r="I155"/>
  <c r="Q105"/>
  <c r="F105" s="1"/>
  <c r="B203" i="25" l="1"/>
  <c r="N178" i="23"/>
  <c r="B206" i="48"/>
  <c r="H107" i="23"/>
  <c r="H105"/>
  <c r="G156"/>
  <c r="J156" s="1"/>
  <c r="J159" s="1"/>
  <c r="G157"/>
  <c r="I157" s="1"/>
  <c r="I159" s="1"/>
  <c r="G104" i="50"/>
  <c r="N108" s="1"/>
  <c r="F102"/>
  <c r="N102" s="1"/>
  <c r="F101"/>
  <c r="N101" s="1"/>
  <c r="J86" i="48"/>
  <c r="G82"/>
  <c r="N86" s="1"/>
  <c r="F75"/>
  <c r="F102" s="1"/>
  <c r="N102" s="1"/>
  <c r="F76"/>
  <c r="N76" s="1"/>
  <c r="F77"/>
  <c r="F104" s="1"/>
  <c r="N104" s="1"/>
  <c r="F78"/>
  <c r="N78" s="1"/>
  <c r="F79"/>
  <c r="N79" s="1"/>
  <c r="F80"/>
  <c r="N80" s="1"/>
  <c r="F81"/>
  <c r="F108" s="1"/>
  <c r="N108" s="1"/>
  <c r="F59"/>
  <c r="C125" s="1"/>
  <c r="B126" s="1"/>
  <c r="G34" i="47" s="1"/>
  <c r="G95" i="46"/>
  <c r="N99" s="1"/>
  <c r="AL187" i="52"/>
  <c r="G186" s="1"/>
  <c r="B186"/>
  <c r="AL183"/>
  <c r="G182" s="1"/>
  <c r="B182"/>
  <c r="B174"/>
  <c r="G34" i="51" s="1"/>
  <c r="J165" i="52"/>
  <c r="N165" s="1"/>
  <c r="B140"/>
  <c r="J159" s="1"/>
  <c r="N159" s="1"/>
  <c r="F121"/>
  <c r="F149" s="1"/>
  <c r="N149" s="1"/>
  <c r="F120"/>
  <c r="F148" s="1"/>
  <c r="N148" s="1"/>
  <c r="F119"/>
  <c r="F147" s="1"/>
  <c r="N147" s="1"/>
  <c r="F118"/>
  <c r="F146" s="1"/>
  <c r="N146" s="1"/>
  <c r="F161" s="1"/>
  <c r="L161" s="1"/>
  <c r="G113"/>
  <c r="B113"/>
  <c r="F107"/>
  <c r="G29" i="51" s="1"/>
  <c r="AK93" i="52"/>
  <c r="G85"/>
  <c r="B92" s="1"/>
  <c r="B62"/>
  <c r="B55"/>
  <c r="B48"/>
  <c r="B41"/>
  <c r="G40"/>
  <c r="B34"/>
  <c r="B28"/>
  <c r="G23" i="51" s="1"/>
  <c r="F10" i="52"/>
  <c r="B10"/>
  <c r="E33" i="51"/>
  <c r="C13"/>
  <c r="N20" i="26" s="1"/>
  <c r="C11" i="51"/>
  <c r="AL154" i="50"/>
  <c r="G153" s="1"/>
  <c r="B153"/>
  <c r="AL150"/>
  <c r="G149" s="1"/>
  <c r="B149"/>
  <c r="N132"/>
  <c r="J127"/>
  <c r="N127" s="1"/>
  <c r="B116"/>
  <c r="G32" i="49" s="1"/>
  <c r="G91" i="50"/>
  <c r="B91"/>
  <c r="F85"/>
  <c r="C140" s="1"/>
  <c r="B141" s="1"/>
  <c r="G34" i="49" s="1"/>
  <c r="B75" i="50"/>
  <c r="G28" i="49" s="1"/>
  <c r="G74" i="50"/>
  <c r="B74"/>
  <c r="B58"/>
  <c r="B51"/>
  <c r="B44"/>
  <c r="B37"/>
  <c r="B30"/>
  <c r="B24"/>
  <c r="F10"/>
  <c r="B10"/>
  <c r="E33" i="49"/>
  <c r="G23"/>
  <c r="C13"/>
  <c r="C11"/>
  <c r="AL139" i="48"/>
  <c r="G138" s="1"/>
  <c r="B138"/>
  <c r="AL135"/>
  <c r="G134" s="1"/>
  <c r="B134"/>
  <c r="J117"/>
  <c r="N117" s="1"/>
  <c r="N112"/>
  <c r="J111"/>
  <c r="N111" s="1"/>
  <c r="F74"/>
  <c r="N74" s="1"/>
  <c r="F73"/>
  <c r="F100" s="1"/>
  <c r="N100" s="1"/>
  <c r="F72"/>
  <c r="F99" s="1"/>
  <c r="N99" s="1"/>
  <c r="G65"/>
  <c r="B65"/>
  <c r="G40"/>
  <c r="B40"/>
  <c r="B24"/>
  <c r="G23" i="47" s="1"/>
  <c r="G16" i="48"/>
  <c r="B16"/>
  <c r="C18" s="1"/>
  <c r="G22" i="47" s="1"/>
  <c r="F10" i="48"/>
  <c r="B10"/>
  <c r="K51" i="47"/>
  <c r="K39" i="49" s="1"/>
  <c r="K35" i="47"/>
  <c r="K35" i="51" s="1"/>
  <c r="K34" i="47"/>
  <c r="K34" i="51" s="1"/>
  <c r="G32" i="47"/>
  <c r="K31"/>
  <c r="K31" i="51" s="1"/>
  <c r="K30" i="47"/>
  <c r="K30" i="51" s="1"/>
  <c r="K29" i="47"/>
  <c r="K29" i="51" s="1"/>
  <c r="K28" i="47"/>
  <c r="K28" i="51" s="1"/>
  <c r="K23" i="47"/>
  <c r="K21"/>
  <c r="K21" i="49" s="1"/>
  <c r="C13" i="47"/>
  <c r="AL145" i="46"/>
  <c r="G144" s="1"/>
  <c r="B144"/>
  <c r="AL141"/>
  <c r="G140" s="1"/>
  <c r="B140"/>
  <c r="C130"/>
  <c r="B131" s="1"/>
  <c r="G34" i="45" s="1"/>
  <c r="J122" i="46"/>
  <c r="N122" s="1"/>
  <c r="N117"/>
  <c r="B106"/>
  <c r="J116" s="1"/>
  <c r="N116" s="1"/>
  <c r="F94"/>
  <c r="F113" s="1"/>
  <c r="N113" s="1"/>
  <c r="F93"/>
  <c r="N93" s="1"/>
  <c r="G88"/>
  <c r="B88"/>
  <c r="F82"/>
  <c r="G29" i="45" s="1"/>
  <c r="AK76" i="46"/>
  <c r="G74"/>
  <c r="B74"/>
  <c r="B58"/>
  <c r="B51"/>
  <c r="B44"/>
  <c r="B37"/>
  <c r="G36"/>
  <c r="B30"/>
  <c r="B24"/>
  <c r="G23" i="45" s="1"/>
  <c r="G16" i="46"/>
  <c r="B16"/>
  <c r="F10"/>
  <c r="B10"/>
  <c r="K35" i="45"/>
  <c r="K34"/>
  <c r="E33"/>
  <c r="K31"/>
  <c r="K30"/>
  <c r="K29"/>
  <c r="K28"/>
  <c r="K23"/>
  <c r="K21"/>
  <c r="C13"/>
  <c r="C12"/>
  <c r="C11"/>
  <c r="C141" i="44"/>
  <c r="F101"/>
  <c r="F123" s="1"/>
  <c r="N123" s="1"/>
  <c r="F102"/>
  <c r="N102" s="1"/>
  <c r="G44" i="24" l="1"/>
  <c r="B41" i="38"/>
  <c r="C33" i="37"/>
  <c r="B114" i="52"/>
  <c r="G30" i="51" s="1"/>
  <c r="C167" i="52"/>
  <c r="G33" i="51" s="1"/>
  <c r="G32"/>
  <c r="N119" i="52"/>
  <c r="B187"/>
  <c r="J10"/>
  <c r="G21" i="51" s="1"/>
  <c r="B183" i="52"/>
  <c r="N77" i="48"/>
  <c r="N75"/>
  <c r="G44" i="47"/>
  <c r="N81" i="48"/>
  <c r="F107"/>
  <c r="N107" s="1"/>
  <c r="B75" i="46"/>
  <c r="G28" i="45" s="1"/>
  <c r="K35" i="49"/>
  <c r="K34"/>
  <c r="F124" i="44"/>
  <c r="N124" s="1"/>
  <c r="N101"/>
  <c r="N118" i="52"/>
  <c r="N120"/>
  <c r="N121"/>
  <c r="B150" i="50"/>
  <c r="F122"/>
  <c r="N122" s="1"/>
  <c r="F123"/>
  <c r="N123" s="1"/>
  <c r="J10"/>
  <c r="G21" i="49" s="1"/>
  <c r="C104" i="50"/>
  <c r="K104" s="1"/>
  <c r="F109" s="1"/>
  <c r="B154"/>
  <c r="B164"/>
  <c r="G39" i="49" s="1"/>
  <c r="F106" i="48"/>
  <c r="N106" s="1"/>
  <c r="F103"/>
  <c r="N103" s="1"/>
  <c r="F105"/>
  <c r="N105" s="1"/>
  <c r="Q86"/>
  <c r="B66"/>
  <c r="G30" i="47" s="1"/>
  <c r="J10" i="48"/>
  <c r="G21" i="47" s="1"/>
  <c r="G29"/>
  <c r="N72" i="48"/>
  <c r="N73"/>
  <c r="B135"/>
  <c r="F101"/>
  <c r="N101" s="1"/>
  <c r="B139"/>
  <c r="B232"/>
  <c r="G51" i="47" s="1"/>
  <c r="G28"/>
  <c r="J10" i="46"/>
  <c r="G21" i="45" s="1"/>
  <c r="G32"/>
  <c r="B89" i="46"/>
  <c r="G30" i="45" s="1"/>
  <c r="N94" i="46"/>
  <c r="C95" s="1"/>
  <c r="K95" s="1"/>
  <c r="F100" s="1"/>
  <c r="B145"/>
  <c r="C18"/>
  <c r="G22" i="45" s="1"/>
  <c r="B141" i="46"/>
  <c r="F112"/>
  <c r="N112" s="1"/>
  <c r="J99"/>
  <c r="Q99" s="1"/>
  <c r="G29" i="49"/>
  <c r="B92" i="50"/>
  <c r="G30" i="49" s="1"/>
  <c r="K21" i="51"/>
  <c r="K23" i="49"/>
  <c r="K23" i="51"/>
  <c r="J126" i="50"/>
  <c r="N126" s="1"/>
  <c r="J108"/>
  <c r="Q108" s="1"/>
  <c r="J133" i="52"/>
  <c r="Q133" s="1"/>
  <c r="K28" i="49"/>
  <c r="K29"/>
  <c r="K30"/>
  <c r="K31"/>
  <c r="F113" i="48" l="1"/>
  <c r="L113" s="1"/>
  <c r="C119" s="1"/>
  <c r="F85" s="1"/>
  <c r="C129" i="52"/>
  <c r="C189"/>
  <c r="G35" i="51" s="1"/>
  <c r="K129" i="52"/>
  <c r="F134" s="1"/>
  <c r="C141" i="48"/>
  <c r="G35" i="47" s="1"/>
  <c r="C82" i="48"/>
  <c r="K82" s="1"/>
  <c r="F87" s="1"/>
  <c r="F128" i="50"/>
  <c r="L128" s="1"/>
  <c r="C134" s="1"/>
  <c r="G33" i="49" s="1"/>
  <c r="C156" i="50"/>
  <c r="G35" i="49" s="1"/>
  <c r="F132" i="52"/>
  <c r="J134" s="1"/>
  <c r="B197"/>
  <c r="G39" i="51" s="1"/>
  <c r="G28"/>
  <c r="J87" i="48"/>
  <c r="G33" i="47"/>
  <c r="C147" i="46"/>
  <c r="G35" i="45" s="1"/>
  <c r="B155" i="46"/>
  <c r="G39" i="45" s="1"/>
  <c r="F118" i="46"/>
  <c r="L118" s="1"/>
  <c r="C124" s="1"/>
  <c r="N134" i="52" l="1"/>
  <c r="G31" i="51" s="1"/>
  <c r="F107" i="50"/>
  <c r="J109" s="1"/>
  <c r="N109" s="1"/>
  <c r="G31" i="49" s="1"/>
  <c r="N87" i="48"/>
  <c r="G31" i="47" s="1"/>
  <c r="G33" i="45"/>
  <c r="F98" i="46"/>
  <c r="J100" s="1"/>
  <c r="N100" s="1"/>
  <c r="G31" i="45" s="1"/>
  <c r="F88" i="42"/>
  <c r="C144" s="1"/>
  <c r="F127"/>
  <c r="N127" s="1"/>
  <c r="N106"/>
  <c r="F67" i="40"/>
  <c r="F68"/>
  <c r="N68" s="1"/>
  <c r="F88" l="1"/>
  <c r="N88" s="1"/>
  <c r="G29" i="41"/>
  <c r="G16" i="40"/>
  <c r="B16"/>
  <c r="C19" s="1"/>
  <c r="G22" i="39" s="1"/>
  <c r="C149" i="30" l="1"/>
  <c r="F102"/>
  <c r="F103"/>
  <c r="F104"/>
  <c r="F105"/>
  <c r="F129" s="1"/>
  <c r="N129" s="1"/>
  <c r="F106"/>
  <c r="F130" s="1"/>
  <c r="N130" s="1"/>
  <c r="F107"/>
  <c r="F131" s="1"/>
  <c r="N131" s="1"/>
  <c r="F108"/>
  <c r="N108" s="1"/>
  <c r="N107" l="1"/>
  <c r="N106"/>
  <c r="N105"/>
  <c r="F132"/>
  <c r="N132" s="1"/>
  <c r="G16"/>
  <c r="B16"/>
  <c r="C19" s="1"/>
  <c r="G22" i="29" s="1"/>
  <c r="F145" i="27"/>
  <c r="N145" s="1"/>
  <c r="F146"/>
  <c r="N146" s="1"/>
  <c r="F147"/>
  <c r="N147" s="1"/>
  <c r="F148"/>
  <c r="N148" s="1"/>
  <c r="F149"/>
  <c r="N149" s="1"/>
  <c r="F150"/>
  <c r="N150" s="1"/>
  <c r="G126"/>
  <c r="N122"/>
  <c r="N123"/>
  <c r="N120"/>
  <c r="N121"/>
  <c r="N124"/>
  <c r="N125"/>
  <c r="B107"/>
  <c r="G107"/>
  <c r="AM105"/>
  <c r="AM106" s="1"/>
  <c r="B101"/>
  <c r="C167" s="1"/>
  <c r="G16"/>
  <c r="B16"/>
  <c r="G16" i="25"/>
  <c r="B16"/>
  <c r="C12" i="29"/>
  <c r="C12" i="28"/>
  <c r="G85" i="25"/>
  <c r="F84"/>
  <c r="N84" s="1"/>
  <c r="F83"/>
  <c r="N83" s="1"/>
  <c r="F68"/>
  <c r="C19" l="1"/>
  <c r="C23" s="1"/>
  <c r="G22" i="24" s="1"/>
  <c r="C18" i="27"/>
  <c r="B109"/>
  <c r="G30" i="28" s="1"/>
  <c r="F104" i="25"/>
  <c r="N104" s="1"/>
  <c r="G22" i="28"/>
  <c r="F105" i="25"/>
  <c r="N105" s="1"/>
  <c r="K39" i="39"/>
  <c r="K29"/>
  <c r="K29" i="41" s="1"/>
  <c r="K30" i="39"/>
  <c r="K31"/>
  <c r="K34"/>
  <c r="K35"/>
  <c r="K28"/>
  <c r="K23"/>
  <c r="K21"/>
  <c r="G47" i="43" l="1"/>
  <c r="B235" i="44"/>
  <c r="G46" i="43" s="1"/>
  <c r="R219" i="44"/>
  <c r="V219" s="1"/>
  <c r="R184"/>
  <c r="J183"/>
  <c r="N176"/>
  <c r="V176" s="1"/>
  <c r="N175"/>
  <c r="N166"/>
  <c r="AL156"/>
  <c r="G155" s="1"/>
  <c r="B155"/>
  <c r="AL152"/>
  <c r="G151" s="1"/>
  <c r="B151"/>
  <c r="B142"/>
  <c r="G34" i="43" s="1"/>
  <c r="J133" i="44"/>
  <c r="N133" s="1"/>
  <c r="N128"/>
  <c r="B114"/>
  <c r="G103"/>
  <c r="F100"/>
  <c r="F122" s="1"/>
  <c r="N122" s="1"/>
  <c r="F99"/>
  <c r="F121" s="1"/>
  <c r="N121" s="1"/>
  <c r="F98"/>
  <c r="F120" s="1"/>
  <c r="N120" s="1"/>
  <c r="G93"/>
  <c r="B93"/>
  <c r="F87"/>
  <c r="G29" i="43" s="1"/>
  <c r="AK78" i="44"/>
  <c r="G75"/>
  <c r="B77" s="1"/>
  <c r="B75"/>
  <c r="B58"/>
  <c r="B51"/>
  <c r="B44"/>
  <c r="B37"/>
  <c r="G36"/>
  <c r="B30"/>
  <c r="B24"/>
  <c r="G23" i="43" s="1"/>
  <c r="F10" i="44"/>
  <c r="B10"/>
  <c r="G45" i="43"/>
  <c r="K35"/>
  <c r="K34"/>
  <c r="E33"/>
  <c r="K31"/>
  <c r="K30"/>
  <c r="K29"/>
  <c r="K28"/>
  <c r="K23"/>
  <c r="K21"/>
  <c r="C13"/>
  <c r="C11"/>
  <c r="AL158" i="42"/>
  <c r="G157" s="1"/>
  <c r="B157"/>
  <c r="AL154"/>
  <c r="G153" s="1"/>
  <c r="B153"/>
  <c r="N136"/>
  <c r="J131"/>
  <c r="N131" s="1"/>
  <c r="B119"/>
  <c r="J111" s="1"/>
  <c r="Q111" s="1"/>
  <c r="F125"/>
  <c r="N125" s="1"/>
  <c r="G94"/>
  <c r="B94"/>
  <c r="G75"/>
  <c r="B75"/>
  <c r="B58"/>
  <c r="B51"/>
  <c r="B44"/>
  <c r="B37"/>
  <c r="B30"/>
  <c r="B24"/>
  <c r="G23" i="41" s="1"/>
  <c r="F10" i="42"/>
  <c r="B10"/>
  <c r="K51" i="41"/>
  <c r="K35"/>
  <c r="K34"/>
  <c r="E33"/>
  <c r="K31"/>
  <c r="K30"/>
  <c r="K28"/>
  <c r="K23"/>
  <c r="K21"/>
  <c r="D15" i="43"/>
  <c r="C13" i="41"/>
  <c r="C11"/>
  <c r="AL119" i="40"/>
  <c r="G118" s="1"/>
  <c r="B118"/>
  <c r="AL115"/>
  <c r="G114" s="1"/>
  <c r="B114"/>
  <c r="J97"/>
  <c r="N97" s="1"/>
  <c r="N92"/>
  <c r="J91"/>
  <c r="N91" s="1"/>
  <c r="N73"/>
  <c r="Q73" s="1"/>
  <c r="F87"/>
  <c r="N87" s="1"/>
  <c r="F66"/>
  <c r="F86" s="1"/>
  <c r="N86" s="1"/>
  <c r="G59"/>
  <c r="B59"/>
  <c r="G29" i="39"/>
  <c r="B129" i="40"/>
  <c r="G39" i="39" s="1"/>
  <c r="G41" i="40"/>
  <c r="B41"/>
  <c r="B25"/>
  <c r="G23" i="39" s="1"/>
  <c r="F10" i="40"/>
  <c r="B10"/>
  <c r="G32" i="39"/>
  <c r="C13"/>
  <c r="F93" i="40" l="1"/>
  <c r="B95" i="42"/>
  <c r="G30" i="41"/>
  <c r="J130" i="42"/>
  <c r="N130" s="1"/>
  <c r="B259"/>
  <c r="G51" i="41" s="1"/>
  <c r="G28"/>
  <c r="B249" i="44"/>
  <c r="G51" i="43" s="1"/>
  <c r="N99" i="44"/>
  <c r="L93" i="40"/>
  <c r="C99" s="1"/>
  <c r="G33" i="39" s="1"/>
  <c r="G28"/>
  <c r="N66" i="40"/>
  <c r="C69" s="1"/>
  <c r="N98" i="44"/>
  <c r="N100"/>
  <c r="J10" i="42"/>
  <c r="G21" i="41" s="1"/>
  <c r="B145" i="42"/>
  <c r="G34" i="41" s="1"/>
  <c r="J10" i="44"/>
  <c r="G21" i="43" s="1"/>
  <c r="B94" i="44"/>
  <c r="G30" i="43" s="1"/>
  <c r="J10" i="40"/>
  <c r="G21" i="39" s="1"/>
  <c r="C105" i="40"/>
  <c r="B106" s="1"/>
  <c r="G34" i="39" s="1"/>
  <c r="B119" i="40"/>
  <c r="G32" i="41"/>
  <c r="B156" i="44"/>
  <c r="B60" i="40"/>
  <c r="G30" i="39" s="1"/>
  <c r="B115" i="40"/>
  <c r="N105" i="42"/>
  <c r="F126"/>
  <c r="N126" s="1"/>
  <c r="B152" i="44"/>
  <c r="C168"/>
  <c r="B154" i="42"/>
  <c r="B158"/>
  <c r="G32" i="43"/>
  <c r="J127" i="44"/>
  <c r="N127" s="1"/>
  <c r="F129" s="1"/>
  <c r="J107"/>
  <c r="Q107" s="1"/>
  <c r="N67" i="40"/>
  <c r="N104" i="42"/>
  <c r="K69" i="40" l="1"/>
  <c r="F74" s="1"/>
  <c r="G39" i="43"/>
  <c r="G175" i="44"/>
  <c r="F132" i="42"/>
  <c r="L132" s="1"/>
  <c r="C138" s="1"/>
  <c r="C103" i="44"/>
  <c r="K103" s="1"/>
  <c r="F108" s="1"/>
  <c r="L129"/>
  <c r="C135" s="1"/>
  <c r="F106" s="1"/>
  <c r="J108" s="1"/>
  <c r="C107" i="42"/>
  <c r="K107" s="1"/>
  <c r="F112" s="1"/>
  <c r="F72" i="40"/>
  <c r="J74" s="1"/>
  <c r="G28" i="43"/>
  <c r="C121" i="40"/>
  <c r="G35" i="39" s="1"/>
  <c r="C158" i="44"/>
  <c r="G35" i="43" s="1"/>
  <c r="C160" i="42"/>
  <c r="G35" i="41" s="1"/>
  <c r="N74" i="40" l="1"/>
  <c r="G31" i="39" s="1"/>
  <c r="G183" i="44"/>
  <c r="V175"/>
  <c r="C178" s="1"/>
  <c r="G209" s="1"/>
  <c r="G33" i="43"/>
  <c r="N108" i="44"/>
  <c r="G31" i="43" s="1"/>
  <c r="G33" i="41"/>
  <c r="F110" i="42"/>
  <c r="J112" s="1"/>
  <c r="N112" s="1"/>
  <c r="G31" i="41" s="1"/>
  <c r="G40" i="43" l="1"/>
  <c r="G193" i="44"/>
  <c r="R183"/>
  <c r="C186" s="1"/>
  <c r="G41" i="43" s="1"/>
  <c r="G201" i="44" l="1"/>
  <c r="C203" s="1"/>
  <c r="G43" i="43" s="1"/>
  <c r="G216" i="44"/>
  <c r="N216" s="1"/>
  <c r="V193"/>
  <c r="C195" s="1"/>
  <c r="G42" i="43" l="1"/>
  <c r="G213" i="44"/>
  <c r="D221"/>
  <c r="B223" s="1"/>
  <c r="K51" i="28"/>
  <c r="G44" i="43" l="1"/>
  <c r="AK80" i="30"/>
  <c r="G109"/>
  <c r="G29" i="29" l="1"/>
  <c r="C57" i="25" l="1"/>
  <c r="C13" i="26" l="1"/>
  <c r="B51" i="25"/>
  <c r="J154" i="27" l="1"/>
  <c r="J130"/>
  <c r="AK44" i="37" l="1"/>
  <c r="B76" i="30" l="1"/>
  <c r="G76"/>
  <c r="F127"/>
  <c r="N127" s="1"/>
  <c r="F128"/>
  <c r="N128" s="1"/>
  <c r="F126"/>
  <c r="N126" s="1"/>
  <c r="B97"/>
  <c r="B274" i="27"/>
  <c r="G75"/>
  <c r="B75"/>
  <c r="B74" i="25"/>
  <c r="K31" i="28"/>
  <c r="G51" i="25"/>
  <c r="K31" i="29"/>
  <c r="K30"/>
  <c r="B150" i="30"/>
  <c r="G34" i="29" s="1"/>
  <c r="G97" i="30"/>
  <c r="Q130" i="27"/>
  <c r="K29" i="28"/>
  <c r="G74" i="25"/>
  <c r="J114"/>
  <c r="N114" s="1"/>
  <c r="J108"/>
  <c r="N108" s="1"/>
  <c r="N89"/>
  <c r="Q89" s="1"/>
  <c r="F82"/>
  <c r="F103" s="1"/>
  <c r="N103" s="1"/>
  <c r="C38" i="26"/>
  <c r="E33" i="29"/>
  <c r="E33" i="28"/>
  <c r="P15" i="38"/>
  <c r="C17" i="26"/>
  <c r="C14"/>
  <c r="G515" i="23"/>
  <c r="I515" s="1"/>
  <c r="J141" i="30"/>
  <c r="N141" s="1"/>
  <c r="N136"/>
  <c r="N159" i="27"/>
  <c r="N154"/>
  <c r="I431" i="23"/>
  <c r="J380"/>
  <c r="J379"/>
  <c r="Q378"/>
  <c r="P378"/>
  <c r="O378"/>
  <c r="H377"/>
  <c r="H376"/>
  <c r="H375"/>
  <c r="N109" i="25"/>
  <c r="G37" i="30"/>
  <c r="J289" i="23"/>
  <c r="J288"/>
  <c r="H287"/>
  <c r="I344"/>
  <c r="G346" s="1"/>
  <c r="I346" s="1"/>
  <c r="I348" s="1"/>
  <c r="Q286"/>
  <c r="H286"/>
  <c r="J196"/>
  <c r="J254" s="1"/>
  <c r="G255" s="1"/>
  <c r="J255" s="1"/>
  <c r="I254"/>
  <c r="G256" s="1"/>
  <c r="I256" s="1"/>
  <c r="H195"/>
  <c r="H254" s="1"/>
  <c r="N13" i="38"/>
  <c r="B7" i="26"/>
  <c r="K23" i="29"/>
  <c r="K29"/>
  <c r="K34"/>
  <c r="K35"/>
  <c r="K21"/>
  <c r="K34" i="28"/>
  <c r="K35"/>
  <c r="K23"/>
  <c r="K21"/>
  <c r="C11" i="29"/>
  <c r="C11" i="28"/>
  <c r="J64" i="23"/>
  <c r="G65" s="1"/>
  <c r="J65" s="1"/>
  <c r="J68" s="1"/>
  <c r="Q14"/>
  <c r="F14" s="1"/>
  <c r="H14" s="1"/>
  <c r="G20" i="26"/>
  <c r="B27" i="38" s="1"/>
  <c r="F20" i="26"/>
  <c r="B25" i="38" s="1"/>
  <c r="E20" i="26"/>
  <c r="C24" i="37" s="1"/>
  <c r="AL160" i="30"/>
  <c r="G159" s="1"/>
  <c r="AL177" i="27"/>
  <c r="G176" s="1"/>
  <c r="AL132" i="25"/>
  <c r="G131" s="1"/>
  <c r="AL164" i="30"/>
  <c r="G163" s="1"/>
  <c r="B163"/>
  <c r="B159"/>
  <c r="AL181" i="27"/>
  <c r="G180" s="1"/>
  <c r="B180"/>
  <c r="B176"/>
  <c r="AL136" i="25"/>
  <c r="G135" s="1"/>
  <c r="B135"/>
  <c r="B131"/>
  <c r="K27" i="38"/>
  <c r="K25"/>
  <c r="X46" i="37"/>
  <c r="AC45"/>
  <c r="AC44"/>
  <c r="AC43"/>
  <c r="AC42"/>
  <c r="AC41"/>
  <c r="AC40"/>
  <c r="AC39"/>
  <c r="AC38"/>
  <c r="AC37"/>
  <c r="AC36"/>
  <c r="AC35"/>
  <c r="AC34"/>
  <c r="AC22"/>
  <c r="AC21"/>
  <c r="AC20"/>
  <c r="B14" i="22"/>
  <c r="B120" i="30"/>
  <c r="B59"/>
  <c r="B52"/>
  <c r="B45"/>
  <c r="B38"/>
  <c r="B31"/>
  <c r="B25"/>
  <c r="G23" i="29" s="1"/>
  <c r="F10" i="30"/>
  <c r="B10"/>
  <c r="C13" i="29"/>
  <c r="C13" i="28"/>
  <c r="J153" i="27"/>
  <c r="N153" s="1"/>
  <c r="B58"/>
  <c r="B51"/>
  <c r="B44"/>
  <c r="B37"/>
  <c r="B30"/>
  <c r="B24"/>
  <c r="G23" i="28" s="1"/>
  <c r="F10" i="27"/>
  <c r="B10"/>
  <c r="C13" i="24"/>
  <c r="G32"/>
  <c r="B30" i="25"/>
  <c r="G23" i="24" s="1"/>
  <c r="F10" i="25"/>
  <c r="B10"/>
  <c r="C122"/>
  <c r="B123" s="1"/>
  <c r="G34" i="24" s="1"/>
  <c r="F81" i="25"/>
  <c r="N81" s="1"/>
  <c r="B79" i="30" l="1"/>
  <c r="I15" i="45"/>
  <c r="I15" i="49"/>
  <c r="I15" i="47"/>
  <c r="I15" i="51"/>
  <c r="D15" i="45"/>
  <c r="G51" i="28"/>
  <c r="G28"/>
  <c r="I15" i="29"/>
  <c r="I15" i="43"/>
  <c r="I15" i="39"/>
  <c r="I15" i="41"/>
  <c r="H45" s="1"/>
  <c r="F143" i="27"/>
  <c r="N143" s="1"/>
  <c r="F144"/>
  <c r="N144" s="1"/>
  <c r="G378" i="23"/>
  <c r="J431"/>
  <c r="G432" s="1"/>
  <c r="J432" s="1"/>
  <c r="J435" s="1"/>
  <c r="H344"/>
  <c r="G347" s="1"/>
  <c r="H347" s="1"/>
  <c r="J258"/>
  <c r="J344"/>
  <c r="G433"/>
  <c r="I433" s="1"/>
  <c r="I435" s="1"/>
  <c r="J135" i="30"/>
  <c r="N135" s="1"/>
  <c r="J113"/>
  <c r="Q113" s="1"/>
  <c r="B177" i="27"/>
  <c r="N119"/>
  <c r="N82" i="25"/>
  <c r="G29" i="24"/>
  <c r="J10" i="25"/>
  <c r="G21" i="24" s="1"/>
  <c r="I15"/>
  <c r="I15" i="28"/>
  <c r="N118" i="27"/>
  <c r="C25" i="37"/>
  <c r="G29" i="28"/>
  <c r="B181" i="27"/>
  <c r="G32" i="28"/>
  <c r="J10" i="27"/>
  <c r="G21" i="28" s="1"/>
  <c r="N103" i="30"/>
  <c r="G28" i="29"/>
  <c r="G32"/>
  <c r="B136" i="25"/>
  <c r="B75"/>
  <c r="G30" i="24" s="1"/>
  <c r="B132" i="25"/>
  <c r="B229"/>
  <c r="G51" i="24" s="1"/>
  <c r="G28"/>
  <c r="F102" i="25"/>
  <c r="N102" s="1"/>
  <c r="B23" i="38"/>
  <c r="B98" i="30"/>
  <c r="G30" i="29" s="1"/>
  <c r="J10" i="30"/>
  <c r="G21" i="29" s="1"/>
  <c r="N104" i="30"/>
  <c r="B160"/>
  <c r="N102"/>
  <c r="B164"/>
  <c r="C26" i="37"/>
  <c r="I517" i="23"/>
  <c r="J517"/>
  <c r="I258"/>
  <c r="G257"/>
  <c r="H257" s="1"/>
  <c r="H258" s="1"/>
  <c r="K254"/>
  <c r="H16"/>
  <c r="F110" i="25" l="1"/>
  <c r="L110" s="1"/>
  <c r="C116" s="1"/>
  <c r="G106" i="23"/>
  <c r="H106" s="1"/>
  <c r="H155" s="1"/>
  <c r="G15"/>
  <c r="F155" i="27"/>
  <c r="H44" i="29"/>
  <c r="I44" s="1"/>
  <c r="G47" i="26" s="1"/>
  <c r="H48" i="41"/>
  <c r="I48" s="1"/>
  <c r="I51" i="26" s="1"/>
  <c r="I45" i="41"/>
  <c r="H46"/>
  <c r="I46" s="1"/>
  <c r="I49" i="26" s="1"/>
  <c r="H44" i="41"/>
  <c r="I44" s="1"/>
  <c r="I47" i="26" s="1"/>
  <c r="H43" i="41"/>
  <c r="I43" s="1"/>
  <c r="I46" i="26" s="1"/>
  <c r="H41" i="41"/>
  <c r="H40"/>
  <c r="I40" s="1"/>
  <c r="I43" i="26" s="1"/>
  <c r="H39" i="41"/>
  <c r="I39" s="1"/>
  <c r="H34" i="29"/>
  <c r="I34" s="1"/>
  <c r="G37" i="26" s="1"/>
  <c r="H35" i="29"/>
  <c r="H43"/>
  <c r="I43" s="1"/>
  <c r="G46" i="26" s="1"/>
  <c r="H27" i="51"/>
  <c r="I27" s="1"/>
  <c r="N29" i="26" s="1"/>
  <c r="H28" i="51"/>
  <c r="I28" s="1"/>
  <c r="N30" i="26" s="1"/>
  <c r="H30" i="51"/>
  <c r="I30" s="1"/>
  <c r="N32" i="26" s="1"/>
  <c r="H29" i="51"/>
  <c r="I29" s="1"/>
  <c r="N31" i="26" s="1"/>
  <c r="H35" i="51"/>
  <c r="I35" s="1"/>
  <c r="N38" i="26" s="1"/>
  <c r="H34" i="51"/>
  <c r="I34" s="1"/>
  <c r="N37" i="26" s="1"/>
  <c r="H31" i="51"/>
  <c r="I31" s="1"/>
  <c r="N33" i="26" s="1"/>
  <c r="H39" i="51"/>
  <c r="I39" s="1"/>
  <c r="H22"/>
  <c r="I22" s="1"/>
  <c r="N24" i="26" s="1"/>
  <c r="H21" i="51"/>
  <c r="I21" s="1"/>
  <c r="H23"/>
  <c r="I23" s="1"/>
  <c r="N25" i="26" s="1"/>
  <c r="H51" i="29"/>
  <c r="H47"/>
  <c r="I47" s="1"/>
  <c r="G51" i="26" s="1"/>
  <c r="H41" i="29"/>
  <c r="I41" s="1"/>
  <c r="G44" i="26" s="1"/>
  <c r="H30" i="29"/>
  <c r="I30" s="1"/>
  <c r="G32" i="26" s="1"/>
  <c r="H45" i="47"/>
  <c r="I45" s="1"/>
  <c r="L49" i="26" s="1"/>
  <c r="H41" i="47"/>
  <c r="H43"/>
  <c r="I43" s="1"/>
  <c r="L46" i="26" s="1"/>
  <c r="H40" i="47"/>
  <c r="H23"/>
  <c r="I23" s="1"/>
  <c r="L25" i="26" s="1"/>
  <c r="H51" i="47"/>
  <c r="I51" s="1"/>
  <c r="I50" s="1"/>
  <c r="H28"/>
  <c r="I28" s="1"/>
  <c r="H34"/>
  <c r="I34" s="1"/>
  <c r="L37" i="26" s="1"/>
  <c r="H30" i="47"/>
  <c r="I30" s="1"/>
  <c r="L32" i="26" s="1"/>
  <c r="H31" i="47"/>
  <c r="I31" s="1"/>
  <c r="L33" i="26" s="1"/>
  <c r="H39" i="47"/>
  <c r="H47"/>
  <c r="I47" s="1"/>
  <c r="L51" i="26" s="1"/>
  <c r="H21" i="47"/>
  <c r="I21" s="1"/>
  <c r="H29"/>
  <c r="I29" s="1"/>
  <c r="L31" i="26" s="1"/>
  <c r="H35" i="47"/>
  <c r="I35" s="1"/>
  <c r="L38" i="26" s="1"/>
  <c r="H44" i="47"/>
  <c r="I44" s="1"/>
  <c r="L47" i="26" s="1"/>
  <c r="H22" i="47"/>
  <c r="I22" s="1"/>
  <c r="L24" i="26" s="1"/>
  <c r="H27" i="47"/>
  <c r="I27" s="1"/>
  <c r="L29" i="26" s="1"/>
  <c r="H29" i="29"/>
  <c r="I29" s="1"/>
  <c r="G31" i="26" s="1"/>
  <c r="H31" i="29"/>
  <c r="H45"/>
  <c r="I45" s="1"/>
  <c r="G49" i="26" s="1"/>
  <c r="H27" i="49"/>
  <c r="I27" s="1"/>
  <c r="M29" i="26" s="1"/>
  <c r="H21" i="49"/>
  <c r="I21" s="1"/>
  <c r="H39"/>
  <c r="I39" s="1"/>
  <c r="I38" s="1"/>
  <c r="H22"/>
  <c r="I22" s="1"/>
  <c r="M24" i="26" s="1"/>
  <c r="H30" i="49"/>
  <c r="I30" s="1"/>
  <c r="M32" i="26" s="1"/>
  <c r="H29" i="49"/>
  <c r="I29" s="1"/>
  <c r="M31" i="26" s="1"/>
  <c r="H35" i="49"/>
  <c r="I35" s="1"/>
  <c r="M38" i="26" s="1"/>
  <c r="H28" i="49"/>
  <c r="I28" s="1"/>
  <c r="H31"/>
  <c r="I31" s="1"/>
  <c r="M33" i="26" s="1"/>
  <c r="H23" i="49"/>
  <c r="I23" s="1"/>
  <c r="M25" i="26" s="1"/>
  <c r="H34" i="49"/>
  <c r="I34" s="1"/>
  <c r="M37" i="26" s="1"/>
  <c r="H23" i="29"/>
  <c r="I23" s="1"/>
  <c r="G25" i="26" s="1"/>
  <c r="H21" i="29"/>
  <c r="I21" s="1"/>
  <c r="H40"/>
  <c r="I40" s="1"/>
  <c r="G43" i="26" s="1"/>
  <c r="H39" i="29"/>
  <c r="I39" s="1"/>
  <c r="G42" i="26" s="1"/>
  <c r="H21" i="45"/>
  <c r="I21" s="1"/>
  <c r="H28"/>
  <c r="I28" s="1"/>
  <c r="H35"/>
  <c r="I35" s="1"/>
  <c r="K38" i="26" s="1"/>
  <c r="H31" i="45"/>
  <c r="I31" s="1"/>
  <c r="K33" i="26" s="1"/>
  <c r="H39" i="45"/>
  <c r="I39" s="1"/>
  <c r="I38" s="1"/>
  <c r="H23"/>
  <c r="I23" s="1"/>
  <c r="K25" i="26" s="1"/>
  <c r="H34" i="45"/>
  <c r="I34" s="1"/>
  <c r="K37" i="26" s="1"/>
  <c r="H29" i="45"/>
  <c r="I29" s="1"/>
  <c r="K31" i="26" s="1"/>
  <c r="H30" i="45"/>
  <c r="I30" s="1"/>
  <c r="K32" i="26" s="1"/>
  <c r="H22" i="45"/>
  <c r="I22" s="1"/>
  <c r="K24" i="26" s="1"/>
  <c r="H27" i="45"/>
  <c r="I27" s="1"/>
  <c r="K29" i="26" s="1"/>
  <c r="H27" i="41"/>
  <c r="I27" s="1"/>
  <c r="I29" i="26" s="1"/>
  <c r="H45" i="28"/>
  <c r="I45" s="1"/>
  <c r="F49" i="26" s="1"/>
  <c r="H43" i="28"/>
  <c r="I43" s="1"/>
  <c r="F46" i="26" s="1"/>
  <c r="H39" i="28"/>
  <c r="H40"/>
  <c r="H47"/>
  <c r="I47" s="1"/>
  <c r="F51" i="26" s="1"/>
  <c r="H44" i="28"/>
  <c r="I44" s="1"/>
  <c r="F47" i="26" s="1"/>
  <c r="H41" i="28"/>
  <c r="H27" i="24"/>
  <c r="I27" s="1"/>
  <c r="E29" i="26" s="1"/>
  <c r="H45" i="24"/>
  <c r="I45" s="1"/>
  <c r="E49" i="26" s="1"/>
  <c r="H43" i="24"/>
  <c r="I43" s="1"/>
  <c r="E46" i="26" s="1"/>
  <c r="H39" i="24"/>
  <c r="I39" s="1"/>
  <c r="E42" i="26" s="1"/>
  <c r="H40" i="24"/>
  <c r="H47"/>
  <c r="I47" s="1"/>
  <c r="E51" i="26" s="1"/>
  <c r="H44" i="24"/>
  <c r="I44" s="1"/>
  <c r="E47" i="26" s="1"/>
  <c r="H41" i="24"/>
  <c r="H22" i="43"/>
  <c r="I22" s="1"/>
  <c r="J24" i="26" s="1"/>
  <c r="H27" i="43"/>
  <c r="I27" s="1"/>
  <c r="J29" i="26" s="1"/>
  <c r="H22" i="39"/>
  <c r="I22" s="1"/>
  <c r="H24" i="26" s="1"/>
  <c r="H27" i="39"/>
  <c r="I27" s="1"/>
  <c r="H29" i="26" s="1"/>
  <c r="H22" i="29"/>
  <c r="I22" s="1"/>
  <c r="G24" i="26" s="1"/>
  <c r="H27" i="29"/>
  <c r="I27" s="1"/>
  <c r="G29" i="26" s="1"/>
  <c r="H30" i="28"/>
  <c r="I30" s="1"/>
  <c r="F32" i="26" s="1"/>
  <c r="H27" i="28"/>
  <c r="I27" s="1"/>
  <c r="F29" i="26" s="1"/>
  <c r="H22" i="41"/>
  <c r="I22" s="1"/>
  <c r="I24" i="26" s="1"/>
  <c r="H29" i="41"/>
  <c r="I29" s="1"/>
  <c r="I31" i="26" s="1"/>
  <c r="C109" i="30"/>
  <c r="K109" s="1"/>
  <c r="F114" s="1"/>
  <c r="H30" i="24"/>
  <c r="I30" s="1"/>
  <c r="E32" i="26" s="1"/>
  <c r="H22" i="24"/>
  <c r="I22" s="1"/>
  <c r="E24" i="26" s="1"/>
  <c r="F137" i="30"/>
  <c r="L137" s="1"/>
  <c r="C143" s="1"/>
  <c r="C126" i="27"/>
  <c r="H22" i="28"/>
  <c r="I22" s="1"/>
  <c r="F24" i="26" s="1"/>
  <c r="C85" i="25"/>
  <c r="K85" s="1"/>
  <c r="F90" s="1"/>
  <c r="L155" i="27"/>
  <c r="C161" s="1"/>
  <c r="G33" i="28" s="1"/>
  <c r="H23" i="41"/>
  <c r="I23" s="1"/>
  <c r="I25" i="26" s="1"/>
  <c r="H51" i="41"/>
  <c r="I51" s="1"/>
  <c r="I50" s="1"/>
  <c r="H35"/>
  <c r="I35" s="1"/>
  <c r="I38" i="26" s="1"/>
  <c r="H30" i="41"/>
  <c r="I30" s="1"/>
  <c r="I32" i="26" s="1"/>
  <c r="H34" i="41"/>
  <c r="I34" s="1"/>
  <c r="I37" i="26" s="1"/>
  <c r="H21" i="41"/>
  <c r="I21" s="1"/>
  <c r="H31"/>
  <c r="I31" s="1"/>
  <c r="I33" i="26" s="1"/>
  <c r="H28" i="41"/>
  <c r="I28" s="1"/>
  <c r="H30" i="39"/>
  <c r="I30" s="1"/>
  <c r="H32" i="26" s="1"/>
  <c r="H39" i="39"/>
  <c r="I39" s="1"/>
  <c r="I38" s="1"/>
  <c r="H35"/>
  <c r="I35" s="1"/>
  <c r="H38" i="26" s="1"/>
  <c r="H28" i="39"/>
  <c r="I28" s="1"/>
  <c r="H23"/>
  <c r="I23" s="1"/>
  <c r="H25" i="26" s="1"/>
  <c r="H34" i="39"/>
  <c r="I34" s="1"/>
  <c r="H37" i="26" s="1"/>
  <c r="H29" i="39"/>
  <c r="I29" s="1"/>
  <c r="H31" i="26" s="1"/>
  <c r="H31" i="39"/>
  <c r="I31" s="1"/>
  <c r="H33" i="26" s="1"/>
  <c r="H21" i="39"/>
  <c r="I21" s="1"/>
  <c r="H378" i="23"/>
  <c r="H431" s="1"/>
  <c r="K431" s="1"/>
  <c r="H15"/>
  <c r="H64" s="1"/>
  <c r="G67" s="1"/>
  <c r="H67" s="1"/>
  <c r="H68" s="1"/>
  <c r="H45" i="43"/>
  <c r="I45" s="1"/>
  <c r="J49" i="26" s="1"/>
  <c r="H51" i="43"/>
  <c r="I51" s="1"/>
  <c r="I50" s="1"/>
  <c r="H39"/>
  <c r="I39" s="1"/>
  <c r="J42" i="26" s="1"/>
  <c r="H43" i="43"/>
  <c r="I43" s="1"/>
  <c r="J46" i="26" s="1"/>
  <c r="H35" i="43"/>
  <c r="I35" s="1"/>
  <c r="J38" i="26" s="1"/>
  <c r="H29" i="43"/>
  <c r="I29" s="1"/>
  <c r="J31" i="26" s="1"/>
  <c r="H30" i="43"/>
  <c r="I30" s="1"/>
  <c r="J32" i="26" s="1"/>
  <c r="H44" i="43"/>
  <c r="I44" s="1"/>
  <c r="J47" i="26" s="1"/>
  <c r="H21" i="43"/>
  <c r="I21" s="1"/>
  <c r="H34"/>
  <c r="I34" s="1"/>
  <c r="J37" i="26" s="1"/>
  <c r="H23" i="43"/>
  <c r="I23" s="1"/>
  <c r="J25" i="26" s="1"/>
  <c r="H41" i="43"/>
  <c r="I41" s="1"/>
  <c r="J44" i="26" s="1"/>
  <c r="H40" i="43"/>
  <c r="I40" s="1"/>
  <c r="J43" i="26" s="1"/>
  <c r="H28" i="43"/>
  <c r="I28" s="1"/>
  <c r="H47"/>
  <c r="I47" s="1"/>
  <c r="J51" i="26" s="1"/>
  <c r="H31" i="43"/>
  <c r="I31" s="1"/>
  <c r="J33" i="26" s="1"/>
  <c r="B168" i="27"/>
  <c r="G34" i="28" s="1"/>
  <c r="K344" i="23"/>
  <c r="H348"/>
  <c r="K258"/>
  <c r="G259" s="1"/>
  <c r="K259" s="1"/>
  <c r="G345"/>
  <c r="J345" s="1"/>
  <c r="J348" s="1"/>
  <c r="B257" i="30"/>
  <c r="G51" i="29" s="1"/>
  <c r="C183" i="27"/>
  <c r="G35" i="28" s="1"/>
  <c r="C138" i="25"/>
  <c r="G35" i="24" s="1"/>
  <c r="H29"/>
  <c r="I29" s="1"/>
  <c r="E31" i="26" s="1"/>
  <c r="H34" i="24"/>
  <c r="I34" s="1"/>
  <c r="E37" i="26" s="1"/>
  <c r="H51" i="24"/>
  <c r="I51" s="1"/>
  <c r="I50" s="1"/>
  <c r="H35"/>
  <c r="H23"/>
  <c r="I23" s="1"/>
  <c r="E25" i="26" s="1"/>
  <c r="H21" i="24"/>
  <c r="I21" s="1"/>
  <c r="H31"/>
  <c r="H21" i="28"/>
  <c r="I21" s="1"/>
  <c r="H23"/>
  <c r="I23" s="1"/>
  <c r="F25" i="26" s="1"/>
  <c r="H34" i="28"/>
  <c r="H31"/>
  <c r="H29"/>
  <c r="I29" s="1"/>
  <c r="F31" i="26" s="1"/>
  <c r="H35" i="28"/>
  <c r="H51"/>
  <c r="I51" s="1"/>
  <c r="I50" s="1"/>
  <c r="K126" i="27"/>
  <c r="F131" s="1"/>
  <c r="C166" i="30"/>
  <c r="G35" i="29" s="1"/>
  <c r="F42" i="26" l="1"/>
  <c r="I39" i="28"/>
  <c r="L43" i="26"/>
  <c r="I40" i="47"/>
  <c r="I44" i="26"/>
  <c r="I41" i="41"/>
  <c r="L44" i="26"/>
  <c r="I41" i="47"/>
  <c r="E44" i="26"/>
  <c r="I41" i="24"/>
  <c r="F44" i="26"/>
  <c r="I41" i="28"/>
  <c r="L42" i="26"/>
  <c r="I39" i="47"/>
  <c r="F43" i="26"/>
  <c r="I40" i="28"/>
  <c r="I48" i="26"/>
  <c r="D48" s="1"/>
  <c r="F88" i="25"/>
  <c r="J90" s="1"/>
  <c r="G33" i="24"/>
  <c r="I40"/>
  <c r="E43" i="26" s="1"/>
  <c r="D43" s="1"/>
  <c r="I38" i="51"/>
  <c r="N55" i="26"/>
  <c r="I23"/>
  <c r="I20" i="41"/>
  <c r="N23" i="26"/>
  <c r="I20" i="51"/>
  <c r="I20" i="28"/>
  <c r="H23" i="26"/>
  <c r="I20" i="39"/>
  <c r="M23" i="26"/>
  <c r="I20" i="49"/>
  <c r="L23" i="26"/>
  <c r="I20" i="47"/>
  <c r="J23" i="26"/>
  <c r="I20" i="43"/>
  <c r="I35" i="29"/>
  <c r="G38" i="26" s="1"/>
  <c r="E23"/>
  <c r="I20" i="24"/>
  <c r="K23" i="26"/>
  <c r="I20" i="45"/>
  <c r="G23" i="26"/>
  <c r="I20" i="29"/>
  <c r="H30" i="26"/>
  <c r="I30"/>
  <c r="L30"/>
  <c r="K30"/>
  <c r="J30"/>
  <c r="M30"/>
  <c r="K155" i="23"/>
  <c r="G158"/>
  <c r="H158" s="1"/>
  <c r="H159" s="1"/>
  <c r="K159" s="1"/>
  <c r="G160" s="1"/>
  <c r="K160" s="1"/>
  <c r="K161" s="1"/>
  <c r="G162" s="1"/>
  <c r="K162" s="1"/>
  <c r="K163" s="1"/>
  <c r="D31" i="26"/>
  <c r="D25"/>
  <c r="D32"/>
  <c r="D24"/>
  <c r="D29"/>
  <c r="I42"/>
  <c r="J55"/>
  <c r="I51" i="29"/>
  <c r="I50" s="1"/>
  <c r="D46" i="26"/>
  <c r="D47"/>
  <c r="H55"/>
  <c r="I55"/>
  <c r="L55"/>
  <c r="D49"/>
  <c r="D44"/>
  <c r="M55"/>
  <c r="D51"/>
  <c r="K55"/>
  <c r="F112" i="30"/>
  <c r="J114" s="1"/>
  <c r="N114" s="1"/>
  <c r="G31" i="29" s="1"/>
  <c r="I31" s="1"/>
  <c r="G33" i="26" s="1"/>
  <c r="G33" i="29"/>
  <c r="G434" i="23"/>
  <c r="H434" s="1"/>
  <c r="H435" s="1"/>
  <c r="K435" s="1"/>
  <c r="G436" s="1"/>
  <c r="K436" s="1"/>
  <c r="K437" s="1"/>
  <c r="G438" s="1"/>
  <c r="K438" s="1"/>
  <c r="K439" s="1"/>
  <c r="F129" i="27"/>
  <c r="J131" s="1"/>
  <c r="N131" s="1"/>
  <c r="G31" i="28" s="1"/>
  <c r="I31" s="1"/>
  <c r="N90" i="25"/>
  <c r="G31" i="24" s="1"/>
  <c r="I31" s="1"/>
  <c r="E33" i="26" s="1"/>
  <c r="I34" i="28"/>
  <c r="F37" i="26" s="1"/>
  <c r="D37" s="1"/>
  <c r="G516" i="23"/>
  <c r="H516" s="1"/>
  <c r="H517" s="1"/>
  <c r="K517" s="1"/>
  <c r="G518" s="1"/>
  <c r="K518" s="1"/>
  <c r="K519" s="1"/>
  <c r="G520" s="1"/>
  <c r="K520" s="1"/>
  <c r="K521" s="1"/>
  <c r="K348"/>
  <c r="G349" s="1"/>
  <c r="K349" s="1"/>
  <c r="K350" s="1"/>
  <c r="G351" s="1"/>
  <c r="K351" s="1"/>
  <c r="K260"/>
  <c r="G261" s="1"/>
  <c r="K261" s="1"/>
  <c r="K262" s="1"/>
  <c r="K42" i="24" s="1"/>
  <c r="I35" i="28"/>
  <c r="F38" i="26" s="1"/>
  <c r="I35" i="24"/>
  <c r="E38" i="26" s="1"/>
  <c r="E55"/>
  <c r="F23"/>
  <c r="G55" l="1"/>
  <c r="D42"/>
  <c r="K42" i="41"/>
  <c r="H42" s="1"/>
  <c r="I42" s="1"/>
  <c r="K42" i="29"/>
  <c r="K42" i="28"/>
  <c r="H42" s="1"/>
  <c r="I42" s="1"/>
  <c r="K42" i="47"/>
  <c r="H42" s="1"/>
  <c r="I42" s="1"/>
  <c r="K42" i="43"/>
  <c r="H42" s="1"/>
  <c r="I42" s="1"/>
  <c r="J45" i="26" s="1"/>
  <c r="H42" i="24"/>
  <c r="I42" s="1"/>
  <c r="K352" i="23"/>
  <c r="K46" i="29"/>
  <c r="H46" s="1"/>
  <c r="I46" s="1"/>
  <c r="K46" i="28"/>
  <c r="H46" s="1"/>
  <c r="I46" s="1"/>
  <c r="K46" i="24"/>
  <c r="K32" i="47"/>
  <c r="K32" i="45"/>
  <c r="K32" i="24"/>
  <c r="K32" i="49"/>
  <c r="D38" i="26"/>
  <c r="D23"/>
  <c r="K33" i="45"/>
  <c r="H33" s="1"/>
  <c r="I33" s="1"/>
  <c r="K36" i="26" s="1"/>
  <c r="K33" i="51"/>
  <c r="H33" s="1"/>
  <c r="I33" s="1"/>
  <c r="N36" i="26" s="1"/>
  <c r="K33" i="49"/>
  <c r="H33" s="1"/>
  <c r="I33" s="1"/>
  <c r="M36" i="26" s="1"/>
  <c r="K33" i="43"/>
  <c r="H33" s="1"/>
  <c r="I33" s="1"/>
  <c r="J36" i="26" s="1"/>
  <c r="K33" i="41"/>
  <c r="H33" s="1"/>
  <c r="I33" s="1"/>
  <c r="I36" i="26" s="1"/>
  <c r="H42" i="29"/>
  <c r="I42" s="1"/>
  <c r="G45" i="26" s="1"/>
  <c r="F33"/>
  <c r="D33" s="1"/>
  <c r="K28" i="28"/>
  <c r="H28" s="1"/>
  <c r="I28" s="1"/>
  <c r="K28" i="29"/>
  <c r="H28" s="1"/>
  <c r="I28" s="1"/>
  <c r="H28" i="24"/>
  <c r="I28" s="1"/>
  <c r="K33" i="29"/>
  <c r="H33" s="1"/>
  <c r="I33" s="1"/>
  <c r="G36" i="26" s="1"/>
  <c r="K33" i="28"/>
  <c r="H33" s="1"/>
  <c r="I33" s="1"/>
  <c r="K33" i="24"/>
  <c r="K33" i="47" s="1"/>
  <c r="H33" s="1"/>
  <c r="I33" s="1"/>
  <c r="L36" i="26" s="1"/>
  <c r="G50" l="1"/>
  <c r="I38" i="29"/>
  <c r="F50" i="26"/>
  <c r="I38" i="28"/>
  <c r="G30" i="26"/>
  <c r="L45"/>
  <c r="K46" i="47"/>
  <c r="H46" s="1"/>
  <c r="I46" s="1"/>
  <c r="K47" i="41"/>
  <c r="H47" s="1"/>
  <c r="I47" s="1"/>
  <c r="F45" i="26"/>
  <c r="K46" i="43"/>
  <c r="H46" s="1"/>
  <c r="I46" s="1"/>
  <c r="H46" i="24"/>
  <c r="I46" s="1"/>
  <c r="E45" i="26"/>
  <c r="I45"/>
  <c r="F30"/>
  <c r="E30"/>
  <c r="H33" i="24"/>
  <c r="I33" s="1"/>
  <c r="E36" i="26" s="1"/>
  <c r="K33" i="39"/>
  <c r="H33" s="1"/>
  <c r="I33" s="1"/>
  <c r="H36" i="26" s="1"/>
  <c r="F36"/>
  <c r="I50" l="1"/>
  <c r="I38" i="41"/>
  <c r="E50" i="26"/>
  <c r="I38" i="24"/>
  <c r="L50" i="26"/>
  <c r="I38" i="47"/>
  <c r="J50" i="26"/>
  <c r="I38" i="43"/>
  <c r="D45" i="26"/>
  <c r="D36"/>
  <c r="D30"/>
  <c r="Q25" i="38"/>
  <c r="U25" s="1"/>
  <c r="F55" i="26"/>
  <c r="D55" s="1"/>
  <c r="I64" i="23"/>
  <c r="G66" s="1"/>
  <c r="I66" s="1"/>
  <c r="D50" i="26" l="1"/>
  <c r="K64" i="23"/>
  <c r="I68"/>
  <c r="K68" s="1"/>
  <c r="G69" l="1"/>
  <c r="K69" s="1"/>
  <c r="K70" s="1"/>
  <c r="G71" s="1"/>
  <c r="K71" s="1"/>
  <c r="K72" s="1"/>
  <c r="K32" i="51" l="1"/>
  <c r="H32" s="1"/>
  <c r="I32" s="1"/>
  <c r="N34" i="26" s="1"/>
  <c r="N57" s="1"/>
  <c r="K32" i="39"/>
  <c r="H32" i="45"/>
  <c r="I32" s="1"/>
  <c r="H32" i="49"/>
  <c r="I32" s="1"/>
  <c r="K32" i="41"/>
  <c r="H32" s="1"/>
  <c r="I32" s="1"/>
  <c r="K32" i="43"/>
  <c r="H32" s="1"/>
  <c r="I32" s="1"/>
  <c r="K32" i="29"/>
  <c r="H32" s="1"/>
  <c r="I32" s="1"/>
  <c r="I26" s="1"/>
  <c r="I54" s="1"/>
  <c r="H32" i="47"/>
  <c r="I32" s="1"/>
  <c r="I26" s="1"/>
  <c r="I54" s="1"/>
  <c r="K32" i="28"/>
  <c r="H32" s="1"/>
  <c r="I32" s="1"/>
  <c r="I26" s="1"/>
  <c r="I54" s="1"/>
  <c r="M35" i="26" l="1"/>
  <c r="M57" s="1"/>
  <c r="I26" i="49"/>
  <c r="I42" s="1"/>
  <c r="J34" i="26"/>
  <c r="I26" i="43"/>
  <c r="I54" s="1"/>
  <c r="I34" i="26"/>
  <c r="I57" s="1"/>
  <c r="H31" i="38" s="1"/>
  <c r="I26" i="41"/>
  <c r="I54" s="1"/>
  <c r="K35" i="26"/>
  <c r="K57" s="1"/>
  <c r="I26" i="45"/>
  <c r="I42" s="1"/>
  <c r="N33" i="37"/>
  <c r="AC33" s="1"/>
  <c r="H41" i="38"/>
  <c r="L35" i="26"/>
  <c r="L57" s="1"/>
  <c r="F34"/>
  <c r="F57" s="1"/>
  <c r="G34"/>
  <c r="G57" s="1"/>
  <c r="I26" i="51"/>
  <c r="I42" s="1"/>
  <c r="H32" i="24"/>
  <c r="I32" s="1"/>
  <c r="I26" s="1"/>
  <c r="I54" s="1"/>
  <c r="H32" i="39"/>
  <c r="I32" s="1"/>
  <c r="N29" i="37" l="1"/>
  <c r="AC29" s="1"/>
  <c r="J57" i="26"/>
  <c r="O31" i="38"/>
  <c r="Q31" s="1"/>
  <c r="N28" i="37"/>
  <c r="AC28" s="1"/>
  <c r="H33" i="38"/>
  <c r="R33" s="1"/>
  <c r="H34" i="26"/>
  <c r="I26" i="39"/>
  <c r="I42" s="1"/>
  <c r="N31" i="37"/>
  <c r="AC31" s="1"/>
  <c r="H37" i="38"/>
  <c r="U37" s="1"/>
  <c r="X41"/>
  <c r="Z41" s="1"/>
  <c r="N30" i="37"/>
  <c r="AC30" s="1"/>
  <c r="H35" i="38"/>
  <c r="E35" i="26"/>
  <c r="Z31" i="38"/>
  <c r="N33"/>
  <c r="N32" i="37"/>
  <c r="AC32" s="1"/>
  <c r="H39" i="38"/>
  <c r="R39" s="1"/>
  <c r="T39" s="1"/>
  <c r="D34" i="26"/>
  <c r="N25" i="37"/>
  <c r="AC25" s="1"/>
  <c r="H27" i="38"/>
  <c r="D35" i="26" l="1"/>
  <c r="E57"/>
  <c r="D57" s="1"/>
  <c r="D59" s="1"/>
  <c r="D60" s="1"/>
  <c r="N27" i="37"/>
  <c r="AC27" s="1"/>
  <c r="H57" i="26"/>
  <c r="H29" i="38" s="1"/>
  <c r="I29" s="1"/>
  <c r="K29" s="1"/>
  <c r="T33"/>
  <c r="R35"/>
  <c r="T35" s="1"/>
  <c r="W37"/>
  <c r="U44"/>
  <c r="H25"/>
  <c r="H57" i="24"/>
  <c r="H23" i="38" l="1"/>
  <c r="H44"/>
  <c r="G31" s="1"/>
  <c r="L25"/>
  <c r="L44" s="1"/>
  <c r="R44"/>
  <c r="Z39"/>
  <c r="X44"/>
  <c r="AL26" i="37"/>
  <c r="AL28" s="1"/>
  <c r="S26" s="1"/>
  <c r="N24"/>
  <c r="AC24" s="1"/>
  <c r="I23" i="38"/>
  <c r="I44" s="1"/>
  <c r="G25" l="1"/>
  <c r="G41"/>
  <c r="G23"/>
  <c r="G33"/>
  <c r="G39"/>
  <c r="G35"/>
  <c r="G27"/>
  <c r="G37"/>
  <c r="G29"/>
  <c r="N25"/>
  <c r="N26" i="37"/>
  <c r="AC26" s="1"/>
  <c r="P27" i="38"/>
  <c r="T44"/>
  <c r="M45"/>
  <c r="S46" i="37"/>
  <c r="K23" i="38"/>
  <c r="K44" s="1"/>
  <c r="G44" l="1"/>
  <c r="O27"/>
  <c r="P44"/>
  <c r="P45" s="1"/>
  <c r="S45" s="1"/>
  <c r="V45" s="1"/>
  <c r="Y45" s="1"/>
  <c r="W27"/>
  <c r="Z27"/>
  <c r="Z44" s="1"/>
  <c r="N46" i="37"/>
  <c r="AC46" s="1"/>
  <c r="N27" i="38"/>
  <c r="N44" s="1"/>
  <c r="W44" l="1"/>
  <c r="O44"/>
  <c r="Q27"/>
  <c r="N45"/>
  <c r="Q44" l="1"/>
  <c r="Q45" s="1"/>
  <c r="T45" s="1"/>
  <c r="W45" s="1"/>
  <c r="L45"/>
  <c r="O45" s="1"/>
  <c r="R45" s="1"/>
  <c r="U45" s="1"/>
  <c r="X45" s="1"/>
  <c r="Z45" l="1"/>
</calcChain>
</file>

<file path=xl/sharedStrings.xml><?xml version="1.0" encoding="utf-8"?>
<sst xmlns="http://schemas.openxmlformats.org/spreadsheetml/2006/main" count="4777" uniqueCount="526">
  <si>
    <t>CÁLCULO DE BDI</t>
  </si>
  <si>
    <t>Construção e Reforma de quaisquer Edificações inclusive Unidades Habitacionais, Escolas, Hospitais, de uso Agropecuário, Estações p/Trens/Metrôs, Estádios e Quadras Esportivas Instalações p/Embarque/Desembarque de passageiros em Aeroportos, Rodoviárias, Portos, etc., Pórticos, Mirantes e outros Edifícios de finalidade turística</t>
  </si>
  <si>
    <t xml:space="preserve">Construção de Rodovias, Ferrovias, Pistas de Aeroportos, Pontes, Viadutos, Metrôs, Túneis, Barreiras Acústicas, Praças de Pedágio, Sinalização de Rodovias e Aeroportos, Placas de Sinalização de Tráfego e Semelhantes, Infra Viária Urbana, Estacionamento de Veículos, Praças, Calçadas p/Pedestres, Elevados, Passarelas, Ciclovias e VLT </t>
  </si>
  <si>
    <t>Abastecimento de Água, Coleta de Esgoto</t>
  </si>
  <si>
    <t>Fornecimento de materiais e equipamentos</t>
  </si>
  <si>
    <t>Construção e Manutenção de Estações e Redes de Distribuição de Energia Elétrica</t>
  </si>
  <si>
    <t>Portuárias, Marítimas e Fluviais</t>
  </si>
  <si>
    <t>Item componente do BDI</t>
  </si>
  <si>
    <t>% Informado</t>
  </si>
  <si>
    <t>1ºQ</t>
  </si>
  <si>
    <t>Médio</t>
  </si>
  <si>
    <t>3º Q</t>
  </si>
  <si>
    <t>Administração Central ( AC )</t>
  </si>
  <si>
    <t>7.85</t>
  </si>
  <si>
    <t>Seguro (S) e Garantia (G)</t>
  </si>
  <si>
    <t>Risco (R)</t>
  </si>
  <si>
    <t>Despesas Financeiras (DF)</t>
  </si>
  <si>
    <t>Lucro (L)</t>
  </si>
  <si>
    <t>Impostos (I) - PIS, COFINS, ISSQN</t>
  </si>
  <si>
    <t>Conforme Legislação Específica</t>
  </si>
  <si>
    <t>Observações</t>
  </si>
  <si>
    <t>VALORES DE BDI POR TIPO DE OBRA</t>
  </si>
  <si>
    <t>1) Preencher apenas a coluna % Informado (Coluna B)</t>
  </si>
  <si>
    <t>Tipo de Obra</t>
  </si>
  <si>
    <t>2) Os Tributos normalmente aplicáveis são: PIS (O,65%), COFINS (3,00%) e ISS (variável até 5,00% conforme o município).</t>
  </si>
  <si>
    <t>Construção de Edifícios</t>
  </si>
  <si>
    <t>3) O cálculo do BDI se baseia na fórmula abaixo utilizada pelo Acórdão 2622/13 do TCU, conforme CE GEPAD 354/2013 de 17/10/2013.</t>
  </si>
  <si>
    <t>Construção de Rodovias e Ferrovias</t>
  </si>
  <si>
    <t>B.D.I  =</t>
  </si>
  <si>
    <t>Rede de Abastecimento de Água, Coleta de Esgotos</t>
  </si>
  <si>
    <t>Fórmula Utilizada:</t>
  </si>
  <si>
    <t>Estações e Redes de Distribuição de Energia Elétrica</t>
  </si>
  <si>
    <t>Obras Portuárias, Marítimas e Fluviais</t>
  </si>
  <si>
    <t>Fornecimento de Materiais e Equipamentos</t>
  </si>
  <si>
    <t>Observações sobre os % informados no cálculo do BDI, neste caso:</t>
  </si>
  <si>
    <t>OBRAS DE REDES DE ÁGUA E ESGOTO</t>
  </si>
  <si>
    <t>OS VALORES % INFORMADO ENQUADRAM-SE NOS LIMITES DO ACÓRDÃO 2622/2013-TCU-PLENÁRIO</t>
  </si>
  <si>
    <t>OS VALORES % INFORMADO DE AC,DF E L ESTÃO NOS VALORES MÁXIMOS DOS LIMITES DO ACÓRDÃO 2622/2013-TCU-PLENÁRIO</t>
  </si>
  <si>
    <t>OS VALORES % INFORMADO DE S+G E R FORAM CONSIDERADOS ZERADOS OU SEJA, ABAIXO DO MÍNIMO DOS LIMITES DO ACÓRDÃO 2622/2013-TCU-PLENÁRIO</t>
  </si>
  <si>
    <t>COMPOSIÇÃO DE PREÇO UNITÁRIO</t>
  </si>
  <si>
    <t>Serviço:</t>
  </si>
  <si>
    <t>Fonte</t>
  </si>
  <si>
    <t>Data-Base</t>
  </si>
  <si>
    <t>Unidade:</t>
  </si>
  <si>
    <t>Item:</t>
  </si>
  <si>
    <t xml:space="preserve">un </t>
  </si>
  <si>
    <t>ITEM</t>
  </si>
  <si>
    <t>SERVIÇO</t>
  </si>
  <si>
    <t>UN</t>
  </si>
  <si>
    <t>COEF.</t>
  </si>
  <si>
    <t>P. UNIT.</t>
  </si>
  <si>
    <t>VALOR ( R$ )</t>
  </si>
  <si>
    <t>CÓDIGO</t>
  </si>
  <si>
    <t>MATER.</t>
  </si>
  <si>
    <t>EQUIPT.</t>
  </si>
  <si>
    <t>M. OBRA</t>
  </si>
  <si>
    <t>1</t>
  </si>
  <si>
    <t>Areia fina - posto jazida/fornecedor (sem frete)</t>
  </si>
  <si>
    <t>m³</t>
  </si>
  <si>
    <t>00366</t>
  </si>
  <si>
    <t>2</t>
  </si>
  <si>
    <t>3</t>
  </si>
  <si>
    <t>4</t>
  </si>
  <si>
    <t>5</t>
  </si>
  <si>
    <t>h</t>
  </si>
  <si>
    <t>Servente com encargos complementares</t>
  </si>
  <si>
    <t>88316</t>
  </si>
  <si>
    <t>SUBTOTAL 01 ( CUSTO DIRETO NO CANTEIRO )</t>
  </si>
  <si>
    <t>ENCARGOS SOCIAIS</t>
  </si>
  <si>
    <t>%</t>
  </si>
  <si>
    <t>EVENTUAIS SOBRE EQUIPAMENTOS</t>
  </si>
  <si>
    <t>BENEFÍCIOS SOBRE MATERIAIS</t>
  </si>
  <si>
    <t>SUBTOTAL 02 ( CUSTO DIRETO TOTAL )</t>
  </si>
  <si>
    <t>B. D. I.</t>
  </si>
  <si>
    <t>VALOR TOTAL ( PREÇO DE VENDA DA ETAPA AFERIDA )</t>
  </si>
  <si>
    <t>CONVERSÃO DE PREÇO DA ETAPA PARA PREÇO UNITÁRIO</t>
  </si>
  <si>
    <t>VALOR TOTAL ( PREÇO DE VENDA UNITÁRIO )</t>
  </si>
  <si>
    <t>OBSERVAÇÕES</t>
  </si>
  <si>
    <t>CRITÉRIO DE MEDIÇÃO</t>
  </si>
  <si>
    <t>Rampa de acessibilidade - largura 1,05m</t>
  </si>
  <si>
    <t>03746/ORSE</t>
  </si>
  <si>
    <t>Comp</t>
  </si>
  <si>
    <t>Larg</t>
  </si>
  <si>
    <t>Area</t>
  </si>
  <si>
    <t>Execução de passeio (calçada) ou piso de concreto com concreto moldado in loco, usinado, acabamento convencional, espessura 6 cm, armado</t>
  </si>
  <si>
    <t>m²</t>
  </si>
  <si>
    <t>94993</t>
  </si>
  <si>
    <t>Pintura acrílica em piso cimentado duas demãos</t>
  </si>
  <si>
    <t>74245/001</t>
  </si>
  <si>
    <t>A PRESENTE COMPOSIÇÃO FOI RETIRADA DA FONTE ORSE CÓDIGO 03746. A PARTIR DELA FORAM FEITAS ALTERAÇÕES PARA SE AJUSTAR AO PROJETO DA RAMPA UTILIZADA.</t>
  </si>
  <si>
    <t>MEMORIAL DE CÁLCULO</t>
  </si>
  <si>
    <t>ÁREA DO PISO: 8,30 X 1,05 = 8,715 M²</t>
  </si>
  <si>
    <t>ÁREA DO LADRILHO: 1,05 X 0,25 X 3 = 0,7875 M²</t>
  </si>
  <si>
    <t>ÁREA DA PINTURA: 8,715 - 0,7875 = 7,9275 M²</t>
  </si>
  <si>
    <t>SERÁ DESCONTA A ÁREA DE 8,715 M² PARA CADA RAMPA NA ÁREA DAS CALÇADAS DE CADA RUA</t>
  </si>
  <si>
    <t>Colchão de areia</t>
  </si>
  <si>
    <t>03212/ORSE</t>
  </si>
  <si>
    <t>Areia fina - posto jazida/fornecedor (retirado na jazida, sem transporte)</t>
  </si>
  <si>
    <t>366</t>
  </si>
  <si>
    <t xml:space="preserve">Grelha FF 30x100cm, com assentamento de argamassa cimento/areia 1:4 </t>
  </si>
  <si>
    <t>Argamassa traço 1:4 (cimento e areia grossa) para chapisco convencional, preparo mecânico com betoneira 400 l</t>
  </si>
  <si>
    <t>87316</t>
  </si>
  <si>
    <t>und</t>
  </si>
  <si>
    <t>Pedreiro com encargos complementares</t>
  </si>
  <si>
    <t>88309</t>
  </si>
  <si>
    <t>Piso tátil direcional e/ou alerta, de concreto, colorido, p/deficientes visuais, dimensões 25x25cm, aplicado com argamassa industrializada AC-II, rejuntado, exclusive regularização de base</t>
  </si>
  <si>
    <t>Rejunte colocrido, cimentício</t>
  </si>
  <si>
    <t>KG</t>
  </si>
  <si>
    <t>34357</t>
  </si>
  <si>
    <t>MATEUS PREMOLDADOS</t>
  </si>
  <si>
    <t>PRECON</t>
  </si>
  <si>
    <t>SADEC</t>
  </si>
  <si>
    <t>Argamassa industrializada multiuso, para revestimento interno e externo e assentamento de blocos diversos</t>
  </si>
  <si>
    <t>Piso tátil direcional e/ou alerta de concreto</t>
  </si>
  <si>
    <t>M²</t>
  </si>
  <si>
    <t>H</t>
  </si>
  <si>
    <t>ÁREA DO PISO: 8,30 x 1,35 = 11,205m²</t>
  </si>
  <si>
    <t>ÁREA DO LADRILHO: 1,35 X 0,25 X 3 = 0,7875m²</t>
  </si>
  <si>
    <t>ÁREA DA PINTURA: 8,715 - 0,7875 = 7,9275m²</t>
  </si>
  <si>
    <t>SERÁ DESCONTA A ÁREA DE 11,205m² PARA CADA RAMPA NA ÁREA DAS CALÇADAS DE CADA RUA</t>
  </si>
  <si>
    <t>PLANILHA ORÇAMENTÁRIA</t>
  </si>
  <si>
    <t>CONTRATO:</t>
  </si>
  <si>
    <t>OBRA:</t>
  </si>
  <si>
    <t>LOCAL:</t>
  </si>
  <si>
    <t>Encargos:</t>
  </si>
  <si>
    <t>REFERÊNCIA DE PREÇOS:</t>
  </si>
  <si>
    <t>B.D.I.:</t>
  </si>
  <si>
    <t>FONTE</t>
  </si>
  <si>
    <t>DESCRIÇÃO DOS SERVIÇOS</t>
  </si>
  <si>
    <t>UNIDADE</t>
  </si>
  <si>
    <t>QUANT.</t>
  </si>
  <si>
    <t>VALORES (R$)</t>
  </si>
  <si>
    <t>UNIT.</t>
  </si>
  <si>
    <t>TOTAL</t>
  </si>
  <si>
    <t>1.0</t>
  </si>
  <si>
    <t>SERVIÇOS PRELIMINARES</t>
  </si>
  <si>
    <t>SINAPI</t>
  </si>
  <si>
    <t>74209/001</t>
  </si>
  <si>
    <t>1.1</t>
  </si>
  <si>
    <t>Placa de Obra em chapa de aço galvanizado (4,00 x 2,50m)</t>
  </si>
  <si>
    <t>73916/002</t>
  </si>
  <si>
    <t>1.2</t>
  </si>
  <si>
    <t>Placa esmaltada para identificação de rua, dimensões 45 x 25cm</t>
  </si>
  <si>
    <t>2.0</t>
  </si>
  <si>
    <t>PAVIMENTAÇÃO</t>
  </si>
  <si>
    <t>COMP.</t>
  </si>
  <si>
    <t>2.1</t>
  </si>
  <si>
    <t>2.2</t>
  </si>
  <si>
    <t>m</t>
  </si>
  <si>
    <t>DER - PB</t>
  </si>
  <si>
    <t>04.910.02</t>
  </si>
  <si>
    <t>2.3</t>
  </si>
  <si>
    <t>Fornecimento e implantação de cordão de travamento em pedra granitica</t>
  </si>
  <si>
    <t>2.4</t>
  </si>
  <si>
    <t>Execução de passeio (calçada) ou piso de concreto com concreto moldado in loco, usinado, acabamento convencional, espessura 6 cm, armado.</t>
  </si>
  <si>
    <t>2.5</t>
  </si>
  <si>
    <t>Rampa para acesso de deficientes, em concreto simples Fck=25MPa, desempolada, com pintura indicativa em novacor, 02 demãos - Largura de 1,05 m</t>
  </si>
  <si>
    <t>2.6</t>
  </si>
  <si>
    <t>GIDUR</t>
  </si>
  <si>
    <t>2.7</t>
  </si>
  <si>
    <t>Caiação em meio fio</t>
  </si>
  <si>
    <t>SICRO</t>
  </si>
  <si>
    <t>5213570 / JULHO 2017</t>
  </si>
  <si>
    <t>2.8</t>
  </si>
  <si>
    <t>Fornecimento e implantação de placa em aço - película I + I</t>
  </si>
  <si>
    <t>3.0</t>
  </si>
  <si>
    <t>DIVERSOS</t>
  </si>
  <si>
    <t>3.1</t>
  </si>
  <si>
    <t>Limpeza final da obra</t>
  </si>
  <si>
    <t>1.0 - SERVIÇOS PRELIMINARES</t>
  </si>
  <si>
    <t>1.1 - Aquisição e assentamento de placa de obra em chapa de aço galvanizado</t>
  </si>
  <si>
    <t>A placa terá 2,50m de largura por 4,0m de comprimento, e conforme modelo de placas de obras da Secretaria de Comunicação da Presidência da República totalizando uma área de:</t>
  </si>
  <si>
    <t>altura</t>
  </si>
  <si>
    <t>compr.</t>
  </si>
  <si>
    <t>A=</t>
  </si>
  <si>
    <t>x</t>
  </si>
  <si>
    <t>=</t>
  </si>
  <si>
    <t>1.2 - Placa esmaltada para identificação de rua, dimensões 45 x 25cm</t>
  </si>
  <si>
    <t>quantid.</t>
  </si>
  <si>
    <t>Q=</t>
  </si>
  <si>
    <t>2.0 - PAVIMENTAÇÃO</t>
  </si>
  <si>
    <t>C. Rua</t>
  </si>
  <si>
    <t>L. Rua</t>
  </si>
  <si>
    <t>L.Cal. 1</t>
  </si>
  <si>
    <t>L. Cal. 2</t>
  </si>
  <si>
    <t xml:space="preserve">Total = </t>
  </si>
  <si>
    <t>2.2 - Assentamento de guia (meio-fio) em trecho reto, confeccionada em concreto pré-fabricado, dimensões 100x15x13x30 cm (comprimento x base inferior x base superior x altura), para vias urbanas (uso viário).</t>
  </si>
  <si>
    <t>A guia de meio fio será o comprimento da quadra, inclusive as bocas de rua.</t>
  </si>
  <si>
    <t>Quadra 01</t>
  </si>
  <si>
    <t>Quadra 02</t>
  </si>
  <si>
    <t>Quadra 03</t>
  </si>
  <si>
    <t>Total  =</t>
  </si>
  <si>
    <t>Será o comprimento dos cordões de travamento ao longo da via</t>
  </si>
  <si>
    <t>nº de cinturões</t>
  </si>
  <si>
    <t>unid</t>
  </si>
  <si>
    <t>O passeio será o comprimento da quadra, inclusive as bocas de rua, subtraindo as rampas e multiplicado pela largura da calçada, menos a área do piso tátil</t>
  </si>
  <si>
    <t>m  x</t>
  </si>
  <si>
    <t>und  =</t>
  </si>
  <si>
    <t>m  =</t>
  </si>
  <si>
    <t>Descontos</t>
  </si>
  <si>
    <t>Piso tátil</t>
  </si>
  <si>
    <t>Rampas</t>
  </si>
  <si>
    <t>und  x</t>
  </si>
  <si>
    <t xml:space="preserve">m = </t>
  </si>
  <si>
    <t>Total do Passeio  =</t>
  </si>
  <si>
    <t>m²  -</t>
  </si>
  <si>
    <t>m²  =</t>
  </si>
  <si>
    <t>Será (ão) construída (as) rampa (s) a cada intersecção com outros logradouros, quando houver condições técnicas.</t>
  </si>
  <si>
    <t>O piso tatil será comprimento da quadra, inclusive as bocas de rua, subtraindo as rampas e o piso de alerta e multiplicado pela largura da placa.</t>
  </si>
  <si>
    <t>Alerta</t>
  </si>
  <si>
    <t>Total do Piso Tátil  =</t>
  </si>
  <si>
    <t>m x</t>
  </si>
  <si>
    <t>m =</t>
  </si>
  <si>
    <t>A área referente ao piso tátil de alerta será "n" vezes a área de um quadrado formado por 4 placas deste piso.</t>
  </si>
  <si>
    <t>m²  x</t>
  </si>
  <si>
    <t>Será o comprimento total de meio fio  multiplicado pelo seu perímetro</t>
  </si>
  <si>
    <t>(</t>
  </si>
  <si>
    <t>+</t>
  </si>
  <si>
    <t>)</t>
  </si>
  <si>
    <t>Serão utilizadas placas de "Pare" e "Limite de velocidade" onde se fizer necessárias, geralmente placas de "Pare" nas intersecções com vias de preferência, e Limite de velocidade em cada trecho da via, em cada lado.</t>
  </si>
  <si>
    <t>PARE</t>
  </si>
  <si>
    <t>área</t>
  </si>
  <si>
    <t>Placas de pare</t>
  </si>
  <si>
    <t>m²/und</t>
  </si>
  <si>
    <t xml:space="preserve">A = </t>
  </si>
  <si>
    <t>Limite de velocidade</t>
  </si>
  <si>
    <t>VELOCIDADE</t>
  </si>
  <si>
    <t>3.0 - DIVERSOS</t>
  </si>
  <si>
    <t>3.1 - Limpeza final da obra</t>
  </si>
  <si>
    <t>Será a mesma área do item 2.1</t>
  </si>
  <si>
    <t>A =</t>
  </si>
  <si>
    <t>Placa de Obra em chapa de aço galvanizado (4,00X2,50m)</t>
  </si>
  <si>
    <t>2.4 - Ensaio de granulometria por peneiramento</t>
  </si>
  <si>
    <t>Será realizado um ensaio por via</t>
  </si>
  <si>
    <t>quant.</t>
  </si>
  <si>
    <t>Q =</t>
  </si>
  <si>
    <t>2.5 - Ensaio de limite de liquidez - solos</t>
  </si>
  <si>
    <t>2.6 - Ensaio de limite de plasticidade</t>
  </si>
  <si>
    <t>2.7 - Ensaio de compactação - amostras trabalhadas</t>
  </si>
  <si>
    <t>2.8 - Ensaio de indice de suporte california</t>
  </si>
  <si>
    <t>Bocas de Rua</t>
  </si>
  <si>
    <t>Será o comprimento total da via, multiplicado pela largura, menos as áreas de interseções mais as bocas de ruas</t>
  </si>
  <si>
    <t xml:space="preserve">Será o comprimento da via, multiplicado por dois, menos o comprimento do perimetro de intersecção com outros logradouros, mais a </t>
  </si>
  <si>
    <t>quantidade de cinturões utilizados ao longo da via, mais as bocas de rua</t>
  </si>
  <si>
    <t xml:space="preserve">Será o comprimento da via, multiplicado pela largura da calçada, multiplicada por dois que são os lados, menos a área de intersecções com </t>
  </si>
  <si>
    <t>outros logradouros e rampas, mais as bocas de rua</t>
  </si>
  <si>
    <t>Será o comprimento total de meio fio, menos os cinturões,  multiplicado pelo seu perímetro</t>
  </si>
  <si>
    <t>3.1  - Limpeza final da obra</t>
  </si>
  <si>
    <t>Será o comprimento da rua multiplicado pela sua largura</t>
  </si>
  <si>
    <t>TOTAL DA OBRA</t>
  </si>
  <si>
    <r>
      <t xml:space="preserve">PROGRAMA: </t>
    </r>
    <r>
      <rPr>
        <b/>
        <sz val="11"/>
        <rFont val="Arial"/>
        <family val="2"/>
      </rPr>
      <t xml:space="preserve">Planejamento Urbano </t>
    </r>
  </si>
  <si>
    <r>
      <t xml:space="preserve">CONVENENTE: </t>
    </r>
    <r>
      <rPr>
        <b/>
        <sz val="11"/>
        <rFont val="Arial"/>
        <family val="2"/>
      </rPr>
      <t>Ministério das Cidades</t>
    </r>
  </si>
  <si>
    <t>Diversos</t>
  </si>
  <si>
    <t>REF.:</t>
  </si>
  <si>
    <t>Execução de calçada em concreto não estrutural (1:3:5) Fck = 12Mpa, preparo mecânico, espessura de 7cm</t>
  </si>
  <si>
    <t>Rampa para acesso de deficientes, em concreto simples Fck=25MPa, desempolada, com pintura indicativa em novacor, 02 demãos - Largura 1,05m</t>
  </si>
  <si>
    <t>Locação de redes de água ou de esgoto</t>
  </si>
  <si>
    <t>Cronograma Físico-Financeiro Individual - Contrapartida Financeira</t>
  </si>
  <si>
    <t>Agente promotor/executor</t>
  </si>
  <si>
    <t>Programa</t>
  </si>
  <si>
    <t>Modalidade</t>
  </si>
  <si>
    <t>PLANEJAMENTO URBANO</t>
  </si>
  <si>
    <t>INFRA-ESTRUTURA URBANA</t>
  </si>
  <si>
    <t>Agente financeiro</t>
  </si>
  <si>
    <t>Nome do empreendimento</t>
  </si>
  <si>
    <t>Valor de financiamento/repasse</t>
  </si>
  <si>
    <t>CAIXA ECONÔMICA FEDERAL</t>
  </si>
  <si>
    <t>Localização</t>
  </si>
  <si>
    <t>Tipo de obra/serviço</t>
  </si>
  <si>
    <t xml:space="preserve">CONTRATO: </t>
  </si>
  <si>
    <t xml:space="preserve">PAVIMENTAÇÃO EM PARALELEPÍPEDOS </t>
  </si>
  <si>
    <t>Item</t>
  </si>
  <si>
    <t>Discriminação dos serviços</t>
  </si>
  <si>
    <t>Peso (%)</t>
  </si>
  <si>
    <t>Valor das obras/serviços (R$)</t>
  </si>
  <si>
    <t>Mês 01</t>
  </si>
  <si>
    <t>Mês 02</t>
  </si>
  <si>
    <t>Mês 03</t>
  </si>
  <si>
    <t>Concedente R$</t>
  </si>
  <si>
    <t>Proponente R$</t>
  </si>
  <si>
    <t>Total simples</t>
  </si>
  <si>
    <t>Total acumulado</t>
  </si>
  <si>
    <t xml:space="preserve">Quadro de Composição do Investimento - QCI - OGU - </t>
  </si>
  <si>
    <t>Setor Público</t>
  </si>
  <si>
    <t>Empreendimento</t>
  </si>
  <si>
    <t>Agente executor</t>
  </si>
  <si>
    <t>Planejamento Urbano</t>
  </si>
  <si>
    <t>Apoio a Política Nacional de Desenvolvimento Urbano</t>
  </si>
  <si>
    <t>Discriminação</t>
  </si>
  <si>
    <t>Investimento total (R$)</t>
  </si>
  <si>
    <t>Recursos União</t>
  </si>
  <si>
    <t>Contrapartida</t>
  </si>
  <si>
    <t>Outras fontes</t>
  </si>
  <si>
    <t>Total</t>
  </si>
  <si>
    <t>VIAS</t>
  </si>
  <si>
    <t xml:space="preserve">Custo médio por família </t>
  </si>
  <si>
    <t>,</t>
  </si>
  <si>
    <t>de</t>
  </si>
  <si>
    <t>Local/Data</t>
  </si>
  <si>
    <t xml:space="preserve"> </t>
  </si>
  <si>
    <t>Assinatura do representante da equipe técnica</t>
  </si>
  <si>
    <t>Assinatura do agente executor</t>
  </si>
  <si>
    <t>Nome:</t>
  </si>
  <si>
    <t>Arnaldo Dias de Almeida Neto</t>
  </si>
  <si>
    <t>Cargo:</t>
  </si>
  <si>
    <t>Engenheiro Civil</t>
  </si>
  <si>
    <t>CREA</t>
  </si>
  <si>
    <t>160032038-4</t>
  </si>
  <si>
    <t>Prefeita Constitucional</t>
  </si>
  <si>
    <t>DRENAGEM</t>
  </si>
  <si>
    <t>3.2</t>
  </si>
  <si>
    <t>Escavação mecanizada de vala com prof. Maior que 1,5 m e até 3,0 m(média entre montante e jusante/uma composição por trecho), com escavadeira hidráulica (0,8 m3/111 hp), larg. Menor que 1,5 m, em solo de 1a categoria, locais com baixo nível de interferência.</t>
  </si>
  <si>
    <t>3.3</t>
  </si>
  <si>
    <t>3.4</t>
  </si>
  <si>
    <t>Escoramento de vala, tipo pontaleteamento, com profundidade de 1,5 a 3,0 m, largura menor que 1,5 m, em local com nível baixo de interferência.</t>
  </si>
  <si>
    <t>COMP</t>
  </si>
  <si>
    <t>3.5</t>
  </si>
  <si>
    <t>3.6</t>
  </si>
  <si>
    <t>3.7</t>
  </si>
  <si>
    <t>Reaterro mecanizado de vala com escavadeira hidráulica (capacidade da caçamba: 0,8 m³ / potência: 111 hp), largura de 1,5 a 2,5 m, profundidade até 1,5 m, com solo (sem substituição) de 1ª categoria em locais com alto nível de interferência.</t>
  </si>
  <si>
    <t>3.8</t>
  </si>
  <si>
    <t>3.9</t>
  </si>
  <si>
    <t>Boca de lobo em alvenaria tijolo maciço, revestida c/ argamassa de cimento e areia 1:3, sobre lastro de concreto 10cm e tampa de concreto armado</t>
  </si>
  <si>
    <t>3.10</t>
  </si>
  <si>
    <t xml:space="preserve">Grelha FF 30X100cm, com assentamento de argamassa cimento/areia 1:4 </t>
  </si>
  <si>
    <t>Tampão fofo articulado, classe b125 carga max 12,5 t, redondo tampa 600 mm, rede pluvial/esgoto, p = chaminé cx areia / poco visita assentado com arg cim/areia 1:4, fornecimento e assentamento</t>
  </si>
  <si>
    <t>73856/002</t>
  </si>
  <si>
    <t>Boca para bueiro simples tubular, DN 0,60m, em concreto ciclópico, incluindo formas, escavação, reaterro e materiais, excluindo material reaterro jazida e transporte</t>
  </si>
  <si>
    <t>3.0 - DRENAGEM</t>
  </si>
  <si>
    <t>3.1 - Locação de redes de água ou de esgoto</t>
  </si>
  <si>
    <t>Será o comprimento da tubulação em projeto</t>
  </si>
  <si>
    <t>Será a quantidade de poços de visita especificados em projeto</t>
  </si>
  <si>
    <t>un</t>
  </si>
  <si>
    <t>Será a quantidade de bocas-de-lobo especificadas em projeto</t>
  </si>
  <si>
    <t>Será igual a quantidade de bocas-de-lobo especificadas em projeto</t>
  </si>
  <si>
    <t>Será o comprimento da tubulação, mais o comprimento da boca de lobo vezes a sua quantidade.</t>
  </si>
  <si>
    <t>3.2 Escavação mecanizada de vala escorada com retro 75 HP, em material de 1ª Categoria de 1,50m até 3,00m de profundidade, excluindo esgotamento e escoramento</t>
  </si>
  <si>
    <t>Sera o comprimento da tubulação e das bocas de lobo, vezes a largura, a profundifundidade e pela quantidade, correspondente a cada uma.</t>
  </si>
  <si>
    <t>Largura</t>
  </si>
  <si>
    <t>Prof.</t>
  </si>
  <si>
    <t>Qdt</t>
  </si>
  <si>
    <t>Boca de Lobo</t>
  </si>
  <si>
    <t>Será o volume totalde escavação, subitraindo a somatória do colchão de areia, o volume das tubulações e também das bocas de lobo.</t>
  </si>
  <si>
    <t>Vol. Da Escavação</t>
  </si>
  <si>
    <t>Colchão de Areia</t>
  </si>
  <si>
    <t>Tubulação</t>
  </si>
  <si>
    <t>Área</t>
  </si>
  <si>
    <t>Bocas de Lobo</t>
  </si>
  <si>
    <t>Altura</t>
  </si>
  <si>
    <t>Total Desc. =</t>
  </si>
  <si>
    <t>Comp. do Tubo  Ø600mm</t>
  </si>
  <si>
    <t>Poços de visita</t>
  </si>
  <si>
    <t>3.3 Escoramento de madeira em valas, tipo pontaleteamento</t>
  </si>
  <si>
    <t>Tubo de concreto para redes coletoras de águas pluviais, diâmetro de 600 mm, junta rígida, instalado em local com baixo nível de interferências - fornecimento e assentamento.</t>
  </si>
  <si>
    <t>3.4 Colchão de areia</t>
  </si>
  <si>
    <t>Será a quantidade de PVs especificadas em projeto</t>
  </si>
  <si>
    <t>4.0</t>
  </si>
  <si>
    <t>4.1</t>
  </si>
  <si>
    <t xml:space="preserve">unid </t>
  </si>
  <si>
    <r>
      <t>m</t>
    </r>
    <r>
      <rPr>
        <vertAlign val="superscript"/>
        <sz val="11"/>
        <rFont val="Arial"/>
        <family val="2"/>
      </rPr>
      <t>3</t>
    </r>
  </si>
  <si>
    <t>Será a mesma área do item 2.2</t>
  </si>
  <si>
    <t>04</t>
  </si>
  <si>
    <t>02</t>
  </si>
  <si>
    <t>03</t>
  </si>
  <si>
    <t>01</t>
  </si>
  <si>
    <t>2.9</t>
  </si>
  <si>
    <t>00371</t>
  </si>
  <si>
    <t>4.0 - DIVERSOS</t>
  </si>
  <si>
    <t>4.1 - Limpeza final da obra</t>
  </si>
  <si>
    <t>Forn. e aplicacao de meio fio em pedra granitica</t>
  </si>
  <si>
    <t>Revestimento em paralelepipedo inc.colchao areia</t>
  </si>
  <si>
    <t>02.702.00</t>
  </si>
  <si>
    <t>2.2 - Revestimento em paralelepipedo inc.colchao areia</t>
  </si>
  <si>
    <t>Pesq. De Merc.</t>
  </si>
  <si>
    <t>PREFEITURA MUNICIPAL DE ITAPOROROCA</t>
  </si>
  <si>
    <t>Pavimentação de diversas ruas no município de Itapororoca</t>
  </si>
  <si>
    <t>Sistema Nacional de Pesquisas de Custos e Índices da Construção Civil - SINAPI / Outubro - 2018</t>
  </si>
  <si>
    <t>Rua do Tambor</t>
  </si>
  <si>
    <t>1054116-72</t>
  </si>
  <si>
    <t>Quadra 04</t>
  </si>
  <si>
    <t>Rua Vitorino Miguel de Oliveira</t>
  </si>
  <si>
    <t>Serviços topográficos para pavimentação, inclusive nota de serviços, acompanhamento e greide</t>
  </si>
  <si>
    <t>1.2 - Serviços topográficos para pavimentação, inclusive nota de serviços, acompanhamento e greide</t>
  </si>
  <si>
    <t>2.3 - Forn. e aplicacao de meio fio em pedra granitica</t>
  </si>
  <si>
    <t>Quadra 05</t>
  </si>
  <si>
    <t>Quadra 06</t>
  </si>
  <si>
    <t>Quadra 07</t>
  </si>
  <si>
    <t>Quadra 08</t>
  </si>
  <si>
    <t>C=</t>
  </si>
  <si>
    <t>Rua Julia Ferreira da Silva</t>
  </si>
  <si>
    <t>Será o comprimento da rua multiplicado pela sua largura, menos a área das interseções com outras ruas</t>
  </si>
  <si>
    <t>Rua Sebastião Viana Fernandes</t>
  </si>
  <si>
    <t>Rua José Evangelista da Silva</t>
  </si>
  <si>
    <t>Rua Alzira Joana da Conceição</t>
  </si>
  <si>
    <t>Rua Marcos Moises de oliveira</t>
  </si>
  <si>
    <t>Rua Antônio de Matos Barbosa</t>
  </si>
  <si>
    <t>Quadra 09</t>
  </si>
  <si>
    <t>Quadra 10</t>
  </si>
  <si>
    <t>Rua Josete Maria da Silva Elias</t>
  </si>
  <si>
    <t>Rua Maria Francisca da Conceição</t>
  </si>
  <si>
    <t>Rampa de acessibilidade - largura 1,35m</t>
  </si>
  <si>
    <t>ÁREA DO PISO: 8,30 X 1,35 = 11,205 M²</t>
  </si>
  <si>
    <t>ÁREA DO LADRILHO: 1,35 X 0,25 X 3 = 1,012 M²</t>
  </si>
  <si>
    <t>ÁREA DA PINTURA: 11,205 - 1,012 = 10,192 M²</t>
  </si>
  <si>
    <t>SERÁ DESCONTA A ÁREA DE 10,192 M² PARA CADA RAMPA NA ÁREA DAS CALÇADAS DE CADA RUA</t>
  </si>
  <si>
    <t>Out/18</t>
  </si>
  <si>
    <t>Rua Julia Ferreira</t>
  </si>
  <si>
    <t>Custo/m²</t>
  </si>
  <si>
    <t>Regularização e compactação de subleito até 20cm de espessura</t>
  </si>
  <si>
    <t>2.1 - Regularização e compactação de subleito até 20cm de espessura</t>
  </si>
  <si>
    <t>1.3</t>
  </si>
  <si>
    <t>Rampa para acesso de deficientes, em concreto simples Fck=25MPa, desempolada, com pintura indicativa em novacor, 02 demãos - Largura 1,35m</t>
  </si>
  <si>
    <t>2.10</t>
  </si>
  <si>
    <t>Rampa para acesso de deficientes, em concreto simples Fck=25MPa, desempolada, com pintura indicativa em novacor, 02 demãos - Largura de 1,35 m</t>
  </si>
  <si>
    <t>3.5 - Tubo de concreto para redes coletoras de águas pluviais, diâmetro de 600 mm, junta rígida, instalado em local com baixo nível de interferências - fornecimento e assentamento.</t>
  </si>
  <si>
    <t>3.6 Reaterro de vala com material granular reaproveitado</t>
  </si>
  <si>
    <t>3.7 Boca de lobo em alvenaria tijolo maciço, revestida com argamassa de cimento e areia 1:3, sobre lastro de concreto 10cm, tampa de concreto armado</t>
  </si>
  <si>
    <t>Será o comprimento, multiplicado pela largura, e pela altura do colchão de areia</t>
  </si>
  <si>
    <t>3.8 Grelha ff 30x100cm, 135kg, p/ cx ralo com assentamento de argamassa cimento/areia 1:4 - fornecimento e instalação</t>
  </si>
  <si>
    <t>3.9 Boca para bueiro simples tubular, DN 0,60m, em concreto ciclópico, incluindo formas, escavação, reaterro e materiais, excluindo material reaterro jazida e transporte</t>
  </si>
  <si>
    <t>Boca de rua</t>
  </si>
  <si>
    <t>05</t>
  </si>
  <si>
    <t>2.4 - Fornecimento e implantação de cordão de travamento em pedra granitica</t>
  </si>
  <si>
    <t>2.5 -Execução de passeio (calçada) ou piso de concreto com concreto moldado in loco, usinado, acabamento convencional, espessura 6 cm, armado.</t>
  </si>
  <si>
    <t>2.6 - Rampa para acesso de deficientes, em concreto simples Fck=25MPa, desempolada, com pintura indicativa em novacor, 02 demãos - Largura de 1,35 m</t>
  </si>
  <si>
    <t>2.7 - Piso tátil direcional e/ou alerta, de concreto, colorido, p/deficientes visuais, dimensões 25x25cm, aplicado com argamassa industrializada ac-ii, rejuntado, exclusive regularização de base</t>
  </si>
  <si>
    <t>2.8 - Caiação em meio fio</t>
  </si>
  <si>
    <t>2.9 - Fornecimento e implantação placa sinalização semi-refletiva</t>
  </si>
  <si>
    <t>1.3 - Placa esmaltada para identificação de rua, dimensões 45 x 25cm</t>
  </si>
  <si>
    <t>2.6 - Rampa para acesso de deficientes, em concreto simples Fck=25MPa, desempolada, com pintura indicativa em novacor, 02 demãos - Largura de 1,05 m</t>
  </si>
  <si>
    <t>4.1  - Limpeza final da obra</t>
  </si>
  <si>
    <t>2.6 - Rampa para acesso de deficientes, em concreto simples Fck=25MPa, desempolada, com pintura indicativa em novacor, 02 demãos - Largura de 1,05m</t>
  </si>
  <si>
    <t>3.3 Escoramento de vala, tipo pontaleteamento, com profundidade de 1,5 a 3,0 m, largura menor que 1,5 m, em local com nível baixo de interferência.</t>
  </si>
  <si>
    <t>2.3 - Assentamento de guia (meio-fio) em trecho reto, confeccionada em concreto pré-fabricado, dimensões 100x15x13x30 cm (comprimento x base inferior x base superior x altura), para vias urbanas (uso viário).</t>
  </si>
  <si>
    <t>2.9 - Fornecimento e implantação de placa em aço - película I + I</t>
  </si>
  <si>
    <t>3.8 Boca de lobo em alvenaria tijolo maciço, revestida com argamassa de cimento e areia 1:3, sobre lastro de concreto 10cm, tampa de concreto armado</t>
  </si>
  <si>
    <t>3.9 Grelha ff 30x100cm, 135kg, p/ cx ralo com assentamento de argamassa cimento/areia 1:4 - fornecimento e instalação</t>
  </si>
  <si>
    <t>2.6 - Rampa para acesso de deficientes, em concreto simples Fck=25MPa, desempolada, com pintura indicativa em novacor, 02 demãos - Largura de 1,35m</t>
  </si>
  <si>
    <t>3.6 - Reaterro de vala com material granular reaproveitado</t>
  </si>
  <si>
    <t>3.7 - Boca de lobo em alvenaria tijolo maciço, revestida com argamassa de cimento e areia 1:3, sobre lastro de concreto 10cm, tampa de concreto armado</t>
  </si>
  <si>
    <t>3.8 - Grelha ff 30x100cm, 135kg, p/ cx ralo com assentamento de argamassa cimento/areia 1:4 - fornecimento e instalação</t>
  </si>
  <si>
    <t>3.9 - Boca para bueiro simples tubular, DN 0,60m, em concreto ciclópico, incluindo formas, escavação, reaterro e materiais, excluindo material reaterro jazida e transporte</t>
  </si>
  <si>
    <t>Serão utilizadas uma placa no início e outra no final de cada rua ou quando necessário</t>
  </si>
  <si>
    <t>Bocas de rua</t>
  </si>
  <si>
    <t xml:space="preserve">Bocas de rua </t>
  </si>
  <si>
    <t xml:space="preserve">        PLANILHA ORÇAMENTÁRIA GLOBAL</t>
  </si>
  <si>
    <t>Itapororoca - PB</t>
  </si>
  <si>
    <t>Elissandra Maria Conceição de Brito</t>
  </si>
  <si>
    <t>ITAPOROROCA</t>
  </si>
  <si>
    <t>Pavimentação de diversas ruas no município de Itapororoca - PB</t>
  </si>
  <si>
    <t>Mês 04</t>
  </si>
  <si>
    <t>Mês 05</t>
  </si>
  <si>
    <t>Mês 06</t>
  </si>
  <si>
    <t>2.2 - Revestimento em paralelepipedo inc.colchão areia</t>
  </si>
  <si>
    <t>2.4 - Fornecimento e implantação de cordão de travamento em pedra granítica</t>
  </si>
  <si>
    <t>Placa de Obra em chapa de aço galvanizado (4,00x2,50m)</t>
  </si>
  <si>
    <t>CÁLCULO DO PREÇO UNITÁRIO SEM BDI</t>
  </si>
  <si>
    <t>Pavimentação de Ruas</t>
  </si>
  <si>
    <t>Remoção e recomposição de meio fio em pedra granitica</t>
  </si>
  <si>
    <t>Valor DER :</t>
  </si>
  <si>
    <t>BDI :</t>
  </si>
  <si>
    <t>Valor sem BDI :</t>
  </si>
  <si>
    <t xml:space="preserve">         =</t>
  </si>
  <si>
    <r>
      <t xml:space="preserve">PROGRAMA: </t>
    </r>
    <r>
      <rPr>
        <b/>
        <sz val="11"/>
        <rFont val="Calibri"/>
        <family val="2"/>
        <scheme val="minor"/>
      </rPr>
      <t>Planejamento Urbano</t>
    </r>
  </si>
  <si>
    <r>
      <t xml:space="preserve">CONVENENTE: </t>
    </r>
    <r>
      <rPr>
        <b/>
        <sz val="11"/>
        <rFont val="Calibri"/>
        <family val="2"/>
        <scheme val="minor"/>
      </rPr>
      <t>Ministério das Cidades</t>
    </r>
  </si>
  <si>
    <t>RESUMO DAS COTAÇÕES</t>
  </si>
  <si>
    <t>SERVIÇO:</t>
  </si>
  <si>
    <t>Piso tátil direcional e/ou alerta de concreto.</t>
  </si>
  <si>
    <t>Empresa</t>
  </si>
  <si>
    <t>CNPJ</t>
  </si>
  <si>
    <t>Telefone</t>
  </si>
  <si>
    <t>Preço/Und</t>
  </si>
  <si>
    <t>Preço/m²</t>
  </si>
  <si>
    <t>PRECON - Artefatos de Concreto Ltda</t>
  </si>
  <si>
    <t>13.617.541/0001-05</t>
  </si>
  <si>
    <t>(83) 3603-0284</t>
  </si>
  <si>
    <t>Mateus Premoldados</t>
  </si>
  <si>
    <t>24.165.624/0001-27</t>
  </si>
  <si>
    <t>(83) 98774-2276</t>
  </si>
  <si>
    <t>SADEC – Soc. Admt. De Const. Eletricas Ltda – ME</t>
  </si>
  <si>
    <t>08.212.698/0001-10</t>
  </si>
  <si>
    <t>(83) 3212-3128</t>
  </si>
  <si>
    <t>Mediana</t>
  </si>
  <si>
    <t>________________________________________</t>
  </si>
  <si>
    <t>ARNALDO DIAS DE ALMEIDA NETO</t>
  </si>
  <si>
    <t>CREA 160032038-4</t>
  </si>
  <si>
    <r>
      <t xml:space="preserve">CONVENENTE: </t>
    </r>
    <r>
      <rPr>
        <b/>
        <sz val="11"/>
        <rFont val="Calibri"/>
        <family val="2"/>
        <scheme val="minor"/>
      </rPr>
      <t>Prefeitura Municipal de Itapororoca</t>
    </r>
  </si>
  <si>
    <t>11245</t>
  </si>
  <si>
    <t>Grelha fofo simples com requadro, carga máxima 12,5 t, 300 x 1000 mm, e= 15mm, área estacionamento carro passeio</t>
  </si>
  <si>
    <t>83716</t>
  </si>
  <si>
    <t>Serão utilizadas placas de "Pare" e "Limite de velocidade" onde se fizer necessárias, geralmente placas de "Pare" nas intersecções com vias de preferência, e Limite de velocidade onde houver necessidade</t>
  </si>
  <si>
    <t>Será o comprimento total de meio fio,  multiplicado pelo seu perímetro</t>
  </si>
  <si>
    <t xml:space="preserve"> Montagem e desmontagem de fôrma de pilares retangulares e estruturas similares com área média das seções maior que 0,25 m², pé-direito simples, em chapa de madeira compensada resinada, 4 utilizações.</t>
  </si>
  <si>
    <t xml:space="preserve"> 92419</t>
  </si>
  <si>
    <t>Concreto fck = 15mpa, traço 1:3,4:3,5 (cimento/ areia média/ brita 1) - preparo mecânico com betoneira 600 l.</t>
  </si>
  <si>
    <t>94969</t>
  </si>
  <si>
    <t>Armação aço CA-50, diam. 6,3 (1/4) à 12,5mm(1/2) -fornecimento/ corte (perda de 10%) / dobra / colocação.</t>
  </si>
  <si>
    <t>kg</t>
  </si>
  <si>
    <t>Alvenaria em tijolo cerâmico maciço 5x10x20cm 1 vez (espessura 20cm),assentado com argamassa traço 1:2:8 (cimento, cal e areia)</t>
  </si>
  <si>
    <t>72131</t>
  </si>
  <si>
    <t>6</t>
  </si>
  <si>
    <t>Emboço ou massa única em argamassa traço 1:2:8, preparo mecânico com betoneira 400 l, aplicada manualmente em panos cegos de fachada (sem presença de vãos), espessura de 25 mm.</t>
  </si>
  <si>
    <t>7</t>
  </si>
  <si>
    <t>A PRESENTE COMPOSIÇÃO FOI RETIRADA DA FONTE SINAPI CÓDIGO 74223/002 DE JANEIRO DE 2016. A PARTIR DELA FORAM FEITAS ALTERAÇÕES PARA SE AJUSTAR AO PROJETO UTILIZADO.</t>
  </si>
  <si>
    <t>07324/ ORSE</t>
  </si>
  <si>
    <t>00140,/ORSE</t>
  </si>
  <si>
    <t>Aco ca-50, 10,0 mm, vergalhao</t>
  </si>
  <si>
    <t>Arame recozido 18 bwg, 1,25 mm (0,01 kg/m)</t>
  </si>
  <si>
    <t>Ajudante de armador com encargos complementares</t>
  </si>
  <si>
    <t>Armador com encargos complementares</t>
  </si>
  <si>
    <t xml:space="preserve">Poço de visita em alvenaria tij. maciços esp. = 0,20m, dim. int. = 1.20 x 1.20 x 1.60m, laje sup.c.a. esp. = 0,15m, inclusive tampão td-600 </t>
  </si>
  <si>
    <t>06</t>
  </si>
  <si>
    <t>07</t>
  </si>
  <si>
    <t>COMP 07</t>
  </si>
  <si>
    <t>3.10 Boca para bueiro simples tubular, DN 0,60m, em concreto ciclópico, incluindo formas, escavação, reaterro e materiais, excluindo material reaterro jazida e transporte</t>
  </si>
  <si>
    <t xml:space="preserve">Poço de visita em alvenaria tij. maciços esp. = 0,20m, dim. int. = 1.20 x 1.20 x 1.20m, laje sup.c.a. esp. = 0,15m, inclusive tampão td-600 </t>
  </si>
  <si>
    <t xml:space="preserve">3.7 - Poço de visita em alvenaria tij. maciços esp. = 0,20m, dim. int. = 1.20 x 1.20 x 1.20m, laje sup.c.a. esp. = 0,15m, inclusive tampão td-600 </t>
  </si>
  <si>
    <t>02690/ ORSE</t>
  </si>
  <si>
    <t>Rua sem nome</t>
  </si>
  <si>
    <t>Rua Dom Adalto</t>
  </si>
  <si>
    <t>Rua sem nome 2</t>
  </si>
  <si>
    <t xml:space="preserve">Rua Lozardo </t>
  </si>
  <si>
    <t>Itapororoca, 22 de janeiro de 2019</t>
  </si>
  <si>
    <t>MODIFICAR DE 0,40 PARA 0,25</t>
  </si>
  <si>
    <t>5213570 / JULHO 2018</t>
  </si>
  <si>
    <t>Será o volume total de escavação, subitraindo a somatória do colchão de areia, o volume das tubulações e também das bocas de lobo.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</si>
</sst>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#,##0.00_ ;\-#,##0.00\ "/>
    <numFmt numFmtId="167" formatCode="_(* #,##0.000_);_(* \(#,##0.000\);_(* &quot;-&quot;??_);_(@_)"/>
    <numFmt numFmtId="168" formatCode="0.000"/>
    <numFmt numFmtId="169" formatCode="_(&quot;R$&quot;* #,##0.00_);_(&quot;R$&quot;* \(#,##0.00\);_(&quot;R$&quot;* &quot;-&quot;??_);_(@_)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4"/>
      <name val="Arial"/>
      <family val="2"/>
    </font>
    <font>
      <b/>
      <sz val="9"/>
      <name val="Arial"/>
      <family val="2"/>
    </font>
    <font>
      <b/>
      <sz val="4"/>
      <name val="Arial"/>
      <family val="2"/>
    </font>
    <font>
      <sz val="9"/>
      <color indexed="12"/>
      <name val="Arial"/>
      <family val="2"/>
    </font>
    <font>
      <b/>
      <sz val="12"/>
      <name val="Swis721 Md BT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7"/>
      <name val="Arial Narrow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4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Swis721 Md BT"/>
      <family val="2"/>
    </font>
    <font>
      <b/>
      <sz val="16"/>
      <color theme="1"/>
      <name val="Swis721 Md BT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sz val="11"/>
      <color theme="3" tint="0.39997558519241921"/>
      <name val="Arial"/>
      <family val="2"/>
    </font>
    <font>
      <vertAlign val="superscript"/>
      <sz val="11"/>
      <name val="Arial"/>
      <family val="2"/>
    </font>
    <font>
      <sz val="11"/>
      <color rgb="FF000000"/>
      <name val="Arial"/>
      <family val="2"/>
    </font>
    <font>
      <sz val="7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sz val="14"/>
      <color rgb="FFFF0000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name val="Calibri"/>
      <family val="2"/>
      <scheme val="minor"/>
    </font>
    <font>
      <sz val="16"/>
      <name val="Swis721 BlkOul BT"/>
      <family val="5"/>
    </font>
    <font>
      <b/>
      <sz val="16"/>
      <name val="Swis721 BlkOul BT"/>
      <family val="5"/>
    </font>
    <font>
      <sz val="7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5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fgColor indexed="8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64"/>
      </patternFill>
    </fill>
    <fill>
      <patternFill patternType="gray0625"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6">
    <xf numFmtId="0" fontId="0" fillId="0" borderId="0"/>
    <xf numFmtId="0" fontId="18" fillId="0" borderId="0" applyNumberForma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9" fontId="17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</cellStyleXfs>
  <cellXfs count="711">
    <xf numFmtId="0" fontId="0" fillId="0" borderId="0" xfId="0"/>
    <xf numFmtId="0" fontId="3" fillId="0" borderId="0" xfId="4" applyFont="1" applyAlignment="1">
      <alignment vertical="top"/>
    </xf>
    <xf numFmtId="0" fontId="3" fillId="0" borderId="0" xfId="4" applyFont="1" applyAlignment="1">
      <alignment vertical="top" wrapText="1"/>
    </xf>
    <xf numFmtId="0" fontId="3" fillId="0" borderId="2" xfId="4" applyFont="1" applyBorder="1" applyAlignment="1">
      <alignment vertical="top"/>
    </xf>
    <xf numFmtId="0" fontId="3" fillId="0" borderId="3" xfId="4" applyFont="1" applyBorder="1" applyAlignment="1">
      <alignment vertical="top"/>
    </xf>
    <xf numFmtId="0" fontId="4" fillId="0" borderId="2" xfId="4" applyFont="1" applyBorder="1" applyAlignment="1">
      <alignment vertical="top"/>
    </xf>
    <xf numFmtId="0" fontId="4" fillId="0" borderId="0" xfId="4" applyFont="1" applyAlignment="1">
      <alignment vertical="top"/>
    </xf>
    <xf numFmtId="0" fontId="4" fillId="0" borderId="0" xfId="4" applyFont="1" applyAlignment="1">
      <alignment vertical="top" wrapText="1"/>
    </xf>
    <xf numFmtId="0" fontId="4" fillId="0" borderId="3" xfId="4" applyFont="1" applyBorder="1" applyAlignment="1">
      <alignment vertical="top"/>
    </xf>
    <xf numFmtId="0" fontId="6" fillId="0" borderId="0" xfId="4" applyFont="1" applyAlignment="1">
      <alignment vertical="top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center" vertical="top"/>
    </xf>
    <xf numFmtId="0" fontId="3" fillId="0" borderId="2" xfId="4" applyFont="1" applyBorder="1" applyAlignment="1">
      <alignment horizontal="left" vertical="center"/>
    </xf>
    <xf numFmtId="0" fontId="5" fillId="0" borderId="0" xfId="4" applyFont="1" applyAlignment="1">
      <alignment horizontal="center" vertical="center" wrapText="1"/>
    </xf>
    <xf numFmtId="0" fontId="3" fillId="0" borderId="0" xfId="4" applyFont="1" applyAlignment="1">
      <alignment horizontal="left" vertical="top"/>
    </xf>
    <xf numFmtId="0" fontId="5" fillId="0" borderId="0" xfId="4" applyFont="1" applyAlignment="1">
      <alignment horizontal="center" vertical="top"/>
    </xf>
    <xf numFmtId="0" fontId="5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horizontal="left" vertical="top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 applyAlignment="1">
      <alignment horizontal="left" vertical="top"/>
    </xf>
    <xf numFmtId="0" fontId="3" fillId="0" borderId="7" xfId="4" applyFont="1" applyBorder="1" applyAlignment="1">
      <alignment vertical="top"/>
    </xf>
    <xf numFmtId="164" fontId="3" fillId="0" borderId="8" xfId="12" applyFont="1" applyBorder="1" applyAlignment="1">
      <alignment horizontal="right" vertical="top"/>
    </xf>
    <xf numFmtId="164" fontId="3" fillId="0" borderId="9" xfId="12" applyFont="1" applyBorder="1" applyAlignment="1">
      <alignment horizontal="right" vertical="top"/>
    </xf>
    <xf numFmtId="164" fontId="3" fillId="0" borderId="0" xfId="12" applyFont="1" applyAlignment="1">
      <alignment horizontal="right" vertical="top"/>
    </xf>
    <xf numFmtId="0" fontId="3" fillId="0" borderId="5" xfId="4" applyFont="1" applyBorder="1" applyAlignment="1">
      <alignment vertical="top"/>
    </xf>
    <xf numFmtId="0" fontId="3" fillId="0" borderId="9" xfId="4" applyFont="1" applyBorder="1" applyAlignment="1">
      <alignment vertical="top"/>
    </xf>
    <xf numFmtId="0" fontId="3" fillId="0" borderId="0" xfId="4" applyFont="1" applyAlignment="1" applyProtection="1">
      <alignment horizontal="left"/>
      <protection locked="0"/>
    </xf>
    <xf numFmtId="0" fontId="3" fillId="0" borderId="0" xfId="8" applyAlignment="1" applyProtection="1">
      <alignment horizontal="left"/>
      <protection locked="0"/>
    </xf>
    <xf numFmtId="0" fontId="3" fillId="0" borderId="0" xfId="8" applyAlignment="1">
      <alignment vertical="top"/>
    </xf>
    <xf numFmtId="0" fontId="3" fillId="0" borderId="0" xfId="4" applyFont="1" applyAlignment="1">
      <alignment horizontal="left"/>
    </xf>
    <xf numFmtId="0" fontId="3" fillId="0" borderId="0" xfId="4" applyFont="1"/>
    <xf numFmtId="0" fontId="18" fillId="0" borderId="0" xfId="1"/>
    <xf numFmtId="4" fontId="3" fillId="0" borderId="0" xfId="4" applyNumberFormat="1" applyFont="1" applyAlignment="1">
      <alignment vertical="top"/>
    </xf>
    <xf numFmtId="166" fontId="3" fillId="0" borderId="0" xfId="4" applyNumberFormat="1" applyFont="1" applyAlignment="1">
      <alignment vertical="top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3" borderId="15" xfId="0" applyFill="1" applyBorder="1"/>
    <xf numFmtId="39" fontId="17" fillId="4" borderId="16" xfId="13" applyNumberFormat="1" applyFill="1" applyBorder="1" applyAlignment="1">
      <alignment horizontal="center"/>
    </xf>
    <xf numFmtId="2" fontId="0" fillId="5" borderId="17" xfId="0" applyNumberFormat="1" applyFill="1" applyBorder="1" applyAlignment="1">
      <alignment horizontal="center"/>
    </xf>
    <xf numFmtId="2" fontId="0" fillId="5" borderId="18" xfId="0" applyNumberFormat="1" applyFill="1" applyBorder="1" applyAlignment="1">
      <alignment horizontal="center"/>
    </xf>
    <xf numFmtId="2" fontId="0" fillId="5" borderId="19" xfId="0" applyNumberFormat="1" applyFill="1" applyBorder="1" applyAlignment="1">
      <alignment horizontal="center"/>
    </xf>
    <xf numFmtId="0" fontId="0" fillId="3" borderId="20" xfId="0" applyFill="1" applyBorder="1"/>
    <xf numFmtId="39" fontId="17" fillId="4" borderId="21" xfId="13" applyNumberFormat="1" applyFill="1" applyBorder="1" applyAlignment="1">
      <alignment horizontal="center"/>
    </xf>
    <xf numFmtId="2" fontId="0" fillId="5" borderId="22" xfId="0" applyNumberFormat="1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2" fontId="0" fillId="5" borderId="13" xfId="0" applyNumberFormat="1" applyFill="1" applyBorder="1" applyAlignment="1">
      <alignment horizontal="center"/>
    </xf>
    <xf numFmtId="2" fontId="0" fillId="5" borderId="24" xfId="0" applyNumberFormat="1" applyFill="1" applyBorder="1" applyAlignment="1">
      <alignment horizontal="center"/>
    </xf>
    <xf numFmtId="2" fontId="0" fillId="5" borderId="25" xfId="0" applyNumberFormat="1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2" fontId="0" fillId="5" borderId="26" xfId="0" applyNumberFormat="1" applyFill="1" applyBorder="1" applyAlignment="1">
      <alignment horizontal="center"/>
    </xf>
    <xf numFmtId="0" fontId="0" fillId="3" borderId="27" xfId="0" applyFill="1" applyBorder="1"/>
    <xf numFmtId="39" fontId="17" fillId="4" borderId="28" xfId="13" applyNumberFormat="1" applyFill="1" applyBorder="1" applyAlignment="1">
      <alignment horizontal="center"/>
    </xf>
    <xf numFmtId="2" fontId="0" fillId="0" borderId="0" xfId="0" applyNumberFormat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3" fontId="17" fillId="6" borderId="32" xfId="13" applyFill="1" applyBorder="1" applyAlignment="1">
      <alignment horizontal="center"/>
    </xf>
    <xf numFmtId="43" fontId="17" fillId="6" borderId="33" xfId="13" applyFill="1" applyBorder="1" applyAlignment="1">
      <alignment horizontal="center"/>
    </xf>
    <xf numFmtId="0" fontId="10" fillId="0" borderId="0" xfId="0" applyFont="1" applyAlignment="1">
      <alignment horizontal="right"/>
    </xf>
    <xf numFmtId="10" fontId="10" fillId="0" borderId="0" xfId="13" applyNumberFormat="1" applyFont="1"/>
    <xf numFmtId="43" fontId="10" fillId="0" borderId="0" xfId="13" applyFont="1"/>
    <xf numFmtId="0" fontId="0" fillId="0" borderId="8" xfId="0" applyBorder="1"/>
    <xf numFmtId="0" fontId="0" fillId="0" borderId="9" xfId="0" applyBorder="1"/>
    <xf numFmtId="0" fontId="0" fillId="0" borderId="34" xfId="0" applyBorder="1"/>
    <xf numFmtId="0" fontId="0" fillId="0" borderId="2" xfId="0" applyBorder="1"/>
    <xf numFmtId="0" fontId="0" fillId="0" borderId="3" xfId="0" applyBorder="1"/>
    <xf numFmtId="43" fontId="17" fillId="6" borderId="35" xfId="13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6" xfId="0" applyBorder="1"/>
    <xf numFmtId="0" fontId="2" fillId="7" borderId="37" xfId="0" applyFont="1" applyFill="1" applyBorder="1"/>
    <xf numFmtId="0" fontId="1" fillId="7" borderId="37" xfId="0" applyFont="1" applyFill="1" applyBorder="1"/>
    <xf numFmtId="0" fontId="0" fillId="7" borderId="37" xfId="0" applyFill="1" applyBorder="1"/>
    <xf numFmtId="0" fontId="11" fillId="0" borderId="0" xfId="0" applyFont="1"/>
    <xf numFmtId="0" fontId="2" fillId="0" borderId="0" xfId="0" applyFont="1"/>
    <xf numFmtId="0" fontId="1" fillId="0" borderId="5" xfId="4" applyBorder="1" applyAlignment="1" applyProtection="1">
      <alignment vertical="top" wrapText="1"/>
      <protection locked="0"/>
    </xf>
    <xf numFmtId="0" fontId="5" fillId="0" borderId="4" xfId="4" applyFont="1" applyBorder="1" applyAlignment="1" applyProtection="1">
      <alignment vertical="top"/>
      <protection locked="0"/>
    </xf>
    <xf numFmtId="0" fontId="5" fillId="0" borderId="5" xfId="4" applyFont="1" applyBorder="1" applyAlignment="1" applyProtection="1">
      <alignment vertical="top"/>
      <protection locked="0"/>
    </xf>
    <xf numFmtId="0" fontId="5" fillId="0" borderId="36" xfId="4" applyFont="1" applyBorder="1" applyAlignment="1" applyProtection="1">
      <alignment vertical="top"/>
      <protection locked="0"/>
    </xf>
    <xf numFmtId="0" fontId="20" fillId="0" borderId="0" xfId="0" applyFont="1" applyAlignment="1">
      <alignment vertical="center"/>
    </xf>
    <xf numFmtId="0" fontId="21" fillId="0" borderId="7" xfId="6" applyFont="1" applyBorder="1" applyAlignment="1">
      <alignment horizontal="left" vertical="center"/>
    </xf>
    <xf numFmtId="0" fontId="22" fillId="0" borderId="7" xfId="6" applyFont="1" applyBorder="1" applyAlignment="1">
      <alignment vertical="center"/>
    </xf>
    <xf numFmtId="0" fontId="22" fillId="0" borderId="1" xfId="6" applyFont="1" applyBorder="1" applyAlignment="1" applyProtection="1">
      <alignment vertical="center"/>
      <protection hidden="1"/>
    </xf>
    <xf numFmtId="0" fontId="22" fillId="0" borderId="0" xfId="6" applyFont="1" applyAlignment="1" applyProtection="1">
      <alignment vertical="center"/>
      <protection hidden="1"/>
    </xf>
    <xf numFmtId="0" fontId="22" fillId="0" borderId="8" xfId="6" applyFont="1" applyBorder="1" applyAlignment="1" applyProtection="1">
      <alignment horizontal="centerContinuous" vertical="center"/>
      <protection hidden="1"/>
    </xf>
    <xf numFmtId="0" fontId="22" fillId="0" borderId="34" xfId="6" applyFont="1" applyBorder="1" applyAlignment="1" applyProtection="1">
      <alignment horizontal="centerContinuous" vertical="center"/>
      <protection hidden="1"/>
    </xf>
    <xf numFmtId="164" fontId="23" fillId="0" borderId="52" xfId="10" applyNumberFormat="1" applyFont="1" applyBorder="1" applyAlignment="1" applyProtection="1">
      <alignment vertical="center"/>
      <protection hidden="1"/>
    </xf>
    <xf numFmtId="164" fontId="23" fillId="0" borderId="52" xfId="10" applyNumberFormat="1" applyFont="1" applyBorder="1" applyAlignment="1" applyProtection="1">
      <alignment horizontal="center" vertical="center"/>
      <protection locked="0" hidden="1"/>
    </xf>
    <xf numFmtId="164" fontId="23" fillId="0" borderId="52" xfId="10" applyNumberFormat="1" applyFont="1" applyBorder="1" applyAlignment="1" applyProtection="1">
      <alignment vertical="center"/>
      <protection locked="0"/>
    </xf>
    <xf numFmtId="164" fontId="21" fillId="0" borderId="53" xfId="10" applyNumberFormat="1" applyFont="1" applyBorder="1" applyAlignment="1" applyProtection="1">
      <alignment vertical="center"/>
      <protection hidden="1"/>
    </xf>
    <xf numFmtId="164" fontId="21" fillId="0" borderId="53" xfId="10" applyNumberFormat="1" applyFont="1" applyBorder="1" applyAlignment="1" applyProtection="1">
      <alignment horizontal="center" vertical="center"/>
      <protection locked="0" hidden="1"/>
    </xf>
    <xf numFmtId="164" fontId="21" fillId="0" borderId="53" xfId="1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5" fillId="0" borderId="5" xfId="6" applyFont="1" applyBorder="1" applyAlignment="1" applyProtection="1">
      <alignment vertical="center"/>
      <protection hidden="1"/>
    </xf>
    <xf numFmtId="0" fontId="26" fillId="0" borderId="8" xfId="6" applyFont="1" applyBorder="1" applyAlignment="1">
      <alignment horizontal="left" vertical="center"/>
    </xf>
    <xf numFmtId="0" fontId="27" fillId="0" borderId="9" xfId="6" applyFont="1" applyBorder="1" applyAlignment="1">
      <alignment horizontal="left" vertical="center"/>
    </xf>
    <xf numFmtId="0" fontId="27" fillId="0" borderId="34" xfId="6" applyFont="1" applyBorder="1" applyAlignment="1">
      <alignment horizontal="left" vertical="center"/>
    </xf>
    <xf numFmtId="4" fontId="26" fillId="0" borderId="8" xfId="6" applyNumberFormat="1" applyFont="1" applyBorder="1" applyAlignment="1">
      <alignment horizontal="left" vertical="center"/>
    </xf>
    <xf numFmtId="4" fontId="27" fillId="0" borderId="9" xfId="6" applyNumberFormat="1" applyFont="1" applyBorder="1" applyAlignment="1">
      <alignment horizontal="left" vertical="center"/>
    </xf>
    <xf numFmtId="0" fontId="26" fillId="0" borderId="9" xfId="6" applyFont="1" applyBorder="1" applyAlignment="1">
      <alignment horizontal="left" vertical="center"/>
    </xf>
    <xf numFmtId="0" fontId="26" fillId="13" borderId="6" xfId="6" applyFont="1" applyFill="1" applyBorder="1" applyAlignment="1">
      <alignment horizontal="centerContinuous" vertical="center"/>
    </xf>
    <xf numFmtId="0" fontId="26" fillId="13" borderId="54" xfId="6" applyFont="1" applyFill="1" applyBorder="1" applyAlignment="1">
      <alignment horizontal="centerContinuous" vertical="center"/>
    </xf>
    <xf numFmtId="164" fontId="26" fillId="0" borderId="53" xfId="10" applyNumberFormat="1" applyFont="1" applyBorder="1" applyAlignment="1" applyProtection="1">
      <alignment horizontal="center" vertical="center"/>
      <protection hidden="1"/>
    </xf>
    <xf numFmtId="39" fontId="26" fillId="0" borderId="53" xfId="10" applyNumberFormat="1" applyFont="1" applyBorder="1" applyAlignment="1" applyProtection="1">
      <alignment vertical="center"/>
      <protection hidden="1"/>
    </xf>
    <xf numFmtId="164" fontId="26" fillId="0" borderId="53" xfId="10" applyNumberFormat="1" applyFont="1" applyBorder="1" applyAlignment="1" applyProtection="1">
      <alignment vertical="center"/>
      <protection hidden="1"/>
    </xf>
    <xf numFmtId="2" fontId="26" fillId="0" borderId="53" xfId="9" applyNumberFormat="1" applyFont="1" applyBorder="1" applyAlignment="1" applyProtection="1">
      <alignment vertical="center"/>
      <protection hidden="1"/>
    </xf>
    <xf numFmtId="0" fontId="5" fillId="0" borderId="0" xfId="4" applyFont="1" applyAlignment="1" applyProtection="1">
      <alignment horizontal="left"/>
      <protection locked="0"/>
    </xf>
    <xf numFmtId="0" fontId="5" fillId="0" borderId="0" xfId="4" applyFont="1"/>
    <xf numFmtId="0" fontId="5" fillId="0" borderId="0" xfId="8" applyFont="1" applyAlignment="1" applyProtection="1">
      <alignment horizontal="left"/>
      <protection locked="0"/>
    </xf>
    <xf numFmtId="166" fontId="20" fillId="0" borderId="0" xfId="0" applyNumberFormat="1" applyFont="1" applyAlignment="1">
      <alignment vertical="center"/>
    </xf>
    <xf numFmtId="0" fontId="28" fillId="0" borderId="0" xfId="6" applyFont="1" applyAlignment="1" applyProtection="1">
      <alignment horizontal="center" vertical="center"/>
      <protection hidden="1"/>
    </xf>
    <xf numFmtId="0" fontId="23" fillId="0" borderId="0" xfId="6" applyFont="1" applyAlignment="1" applyProtection="1">
      <alignment vertical="center"/>
      <protection hidden="1"/>
    </xf>
    <xf numFmtId="0" fontId="23" fillId="0" borderId="0" xfId="6" applyFont="1" applyAlignment="1" applyProtection="1">
      <alignment horizontal="center" vertical="center"/>
      <protection hidden="1"/>
    </xf>
    <xf numFmtId="0" fontId="23" fillId="0" borderId="0" xfId="6" quotePrefix="1" applyFont="1" applyAlignment="1" applyProtection="1">
      <alignment horizontal="center" vertical="center"/>
      <protection hidden="1"/>
    </xf>
    <xf numFmtId="0" fontId="29" fillId="0" borderId="55" xfId="6" applyFont="1" applyBorder="1" applyAlignment="1" applyProtection="1">
      <alignment horizontal="center" vertical="center"/>
      <protection hidden="1"/>
    </xf>
    <xf numFmtId="0" fontId="25" fillId="0" borderId="55" xfId="6" applyFont="1" applyBorder="1" applyAlignment="1" applyProtection="1">
      <alignment vertical="center"/>
      <protection hidden="1"/>
    </xf>
    <xf numFmtId="0" fontId="25" fillId="0" borderId="55" xfId="6" applyFont="1" applyBorder="1" applyAlignment="1" applyProtection="1">
      <alignment horizontal="center" vertical="center"/>
      <protection hidden="1"/>
    </xf>
    <xf numFmtId="0" fontId="25" fillId="0" borderId="55" xfId="6" quotePrefix="1" applyFont="1" applyBorder="1" applyAlignment="1" applyProtection="1">
      <alignment horizontal="center" vertical="center"/>
      <protection hidden="1"/>
    </xf>
    <xf numFmtId="0" fontId="25" fillId="0" borderId="56" xfId="6" applyFont="1" applyBorder="1" applyAlignment="1" applyProtection="1">
      <alignment horizontal="center" vertical="center"/>
      <protection hidden="1"/>
    </xf>
    <xf numFmtId="0" fontId="25" fillId="0" borderId="57" xfId="6" applyFont="1" applyBorder="1" applyAlignment="1" applyProtection="1">
      <alignment vertical="center"/>
      <protection hidden="1"/>
    </xf>
    <xf numFmtId="0" fontId="25" fillId="0" borderId="58" xfId="6" applyFont="1" applyBorder="1" applyAlignment="1" applyProtection="1">
      <alignment vertical="center"/>
      <protection hidden="1"/>
    </xf>
    <xf numFmtId="0" fontId="26" fillId="0" borderId="59" xfId="6" applyFont="1" applyBorder="1" applyAlignment="1">
      <alignment horizontal="left" vertical="center"/>
    </xf>
    <xf numFmtId="10" fontId="27" fillId="0" borderId="60" xfId="6" applyNumberFormat="1" applyFont="1" applyBorder="1" applyAlignment="1">
      <alignment horizontal="left" vertical="center"/>
    </xf>
    <xf numFmtId="0" fontId="21" fillId="0" borderId="61" xfId="6" applyFont="1" applyBorder="1" applyAlignment="1">
      <alignment horizontal="left" vertical="center"/>
    </xf>
    <xf numFmtId="0" fontId="21" fillId="0" borderId="62" xfId="6" applyFont="1" applyBorder="1" applyAlignment="1">
      <alignment horizontal="left" vertical="center"/>
    </xf>
    <xf numFmtId="0" fontId="22" fillId="0" borderId="62" xfId="6" applyFont="1" applyBorder="1" applyAlignment="1">
      <alignment vertical="center"/>
    </xf>
    <xf numFmtId="0" fontId="22" fillId="0" borderId="63" xfId="6" applyFont="1" applyBorder="1" applyAlignment="1">
      <alignment vertical="center"/>
    </xf>
    <xf numFmtId="0" fontId="22" fillId="0" borderId="64" xfId="6" applyFont="1" applyBorder="1" applyAlignment="1" applyProtection="1">
      <alignment vertical="center"/>
      <protection hidden="1"/>
    </xf>
    <xf numFmtId="0" fontId="25" fillId="0" borderId="65" xfId="6" applyFont="1" applyBorder="1" applyAlignment="1">
      <alignment horizontal="center" vertical="center"/>
    </xf>
    <xf numFmtId="164" fontId="23" fillId="0" borderId="66" xfId="10" applyNumberFormat="1" applyFont="1" applyBorder="1" applyAlignment="1" applyProtection="1">
      <alignment vertical="center"/>
      <protection hidden="1"/>
    </xf>
    <xf numFmtId="0" fontId="27" fillId="0" borderId="67" xfId="6" applyFont="1" applyBorder="1" applyAlignment="1">
      <alignment horizontal="center" vertical="center"/>
    </xf>
    <xf numFmtId="164" fontId="21" fillId="0" borderId="68" xfId="10" applyNumberFormat="1" applyFont="1" applyBorder="1" applyAlignment="1" applyProtection="1">
      <alignment vertical="center"/>
      <protection hidden="1"/>
    </xf>
    <xf numFmtId="0" fontId="27" fillId="0" borderId="57" xfId="6" applyFont="1" applyBorder="1" applyAlignment="1">
      <alignment horizontal="center" vertical="center"/>
    </xf>
    <xf numFmtId="164" fontId="26" fillId="0" borderId="69" xfId="10" applyNumberFormat="1" applyFont="1" applyBorder="1" applyAlignment="1" applyProtection="1">
      <alignment horizontal="center" vertical="center"/>
      <protection hidden="1"/>
    </xf>
    <xf numFmtId="164" fontId="24" fillId="11" borderId="69" xfId="10" applyNumberFormat="1" applyFont="1" applyFill="1" applyBorder="1" applyAlignment="1" applyProtection="1">
      <alignment vertical="center"/>
      <protection hidden="1"/>
    </xf>
    <xf numFmtId="164" fontId="26" fillId="0" borderId="69" xfId="10" applyNumberFormat="1" applyFont="1" applyBorder="1" applyAlignment="1" applyProtection="1">
      <alignment vertical="center"/>
      <protection hidden="1"/>
    </xf>
    <xf numFmtId="164" fontId="26" fillId="0" borderId="70" xfId="10" applyNumberFormat="1" applyFont="1" applyBorder="1" applyAlignment="1" applyProtection="1">
      <alignment vertical="center"/>
      <protection hidden="1"/>
    </xf>
    <xf numFmtId="0" fontId="13" fillId="0" borderId="49" xfId="6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5" fillId="0" borderId="5" xfId="6" applyFont="1" applyBorder="1" applyAlignment="1" applyProtection="1">
      <alignment vertical="center" wrapText="1"/>
      <protection hidden="1"/>
    </xf>
    <xf numFmtId="0" fontId="27" fillId="0" borderId="9" xfId="6" applyFont="1" applyBorder="1" applyAlignment="1">
      <alignment horizontal="left" vertical="center" wrapText="1"/>
    </xf>
    <xf numFmtId="0" fontId="21" fillId="0" borderId="7" xfId="6" applyFont="1" applyBorder="1" applyAlignment="1">
      <alignment horizontal="left" vertical="center" wrapText="1"/>
    </xf>
    <xf numFmtId="0" fontId="22" fillId="0" borderId="0" xfId="6" applyFont="1" applyAlignment="1">
      <alignment vertical="center" wrapText="1"/>
    </xf>
    <xf numFmtId="0" fontId="23" fillId="0" borderId="6" xfId="6" applyFont="1" applyBorder="1" applyAlignment="1" applyProtection="1">
      <alignment horizontal="left" vertical="center" wrapText="1"/>
      <protection locked="0" hidden="1"/>
    </xf>
    <xf numFmtId="0" fontId="23" fillId="0" borderId="7" xfId="6" applyFont="1" applyBorder="1" applyAlignment="1" applyProtection="1">
      <alignment horizontal="left" vertical="center" wrapText="1"/>
      <protection locked="0" hidden="1"/>
    </xf>
    <xf numFmtId="0" fontId="23" fillId="0" borderId="54" xfId="6" applyFont="1" applyBorder="1" applyAlignment="1" applyProtection="1">
      <alignment horizontal="left" vertical="center" wrapText="1"/>
      <protection locked="0" hidden="1"/>
    </xf>
    <xf numFmtId="0" fontId="21" fillId="0" borderId="5" xfId="6" applyFont="1" applyBorder="1" applyAlignment="1" applyProtection="1">
      <alignment horizontal="left" vertical="center" wrapText="1"/>
      <protection locked="0" hidden="1"/>
    </xf>
    <xf numFmtId="0" fontId="21" fillId="0" borderId="36" xfId="6" applyFont="1" applyBorder="1" applyAlignment="1" applyProtection="1">
      <alignment horizontal="left" vertical="center" wrapText="1"/>
      <protection locked="0" hidden="1"/>
    </xf>
    <xf numFmtId="0" fontId="30" fillId="0" borderId="0" xfId="0" applyFont="1" applyAlignment="1" applyProtection="1">
      <alignment vertical="center" wrapText="1"/>
      <protection locked="0"/>
    </xf>
    <xf numFmtId="0" fontId="31" fillId="0" borderId="0" xfId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vertical="center"/>
    </xf>
    <xf numFmtId="0" fontId="30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/>
      <protection locked="0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vertical="center" wrapText="1"/>
      <protection locked="0"/>
    </xf>
    <xf numFmtId="4" fontId="30" fillId="0" borderId="0" xfId="0" applyNumberFormat="1" applyFont="1" applyAlignment="1" applyProtection="1">
      <alignment horizontal="right" vertical="center" wrapText="1"/>
      <protection locked="0"/>
    </xf>
    <xf numFmtId="10" fontId="32" fillId="0" borderId="0" xfId="9" applyNumberFormat="1" applyFont="1" applyAlignment="1" applyProtection="1">
      <alignment horizontal="right" vertical="center" wrapText="1"/>
      <protection locked="0"/>
    </xf>
    <xf numFmtId="10" fontId="32" fillId="0" borderId="0" xfId="0" applyNumberFormat="1" applyFont="1" applyAlignment="1" applyProtection="1">
      <alignment horizontal="right" vertical="center" wrapText="1"/>
      <protection locked="0"/>
    </xf>
    <xf numFmtId="4" fontId="32" fillId="13" borderId="49" xfId="0" applyNumberFormat="1" applyFont="1" applyFill="1" applyBorder="1" applyAlignment="1" applyProtection="1">
      <alignment horizontal="center" vertical="center" wrapText="1"/>
      <protection locked="0"/>
    </xf>
    <xf numFmtId="4" fontId="32" fillId="13" borderId="51" xfId="0" applyNumberFormat="1" applyFont="1" applyFill="1" applyBorder="1" applyAlignment="1" applyProtection="1">
      <alignment horizontal="right" vertical="center" wrapText="1"/>
      <protection locked="0"/>
    </xf>
    <xf numFmtId="0" fontId="30" fillId="13" borderId="48" xfId="0" applyFont="1" applyFill="1" applyBorder="1" applyAlignment="1" applyProtection="1">
      <alignment vertical="center" wrapText="1"/>
      <protection locked="0"/>
    </xf>
    <xf numFmtId="0" fontId="30" fillId="13" borderId="51" xfId="0" applyFont="1" applyFill="1" applyBorder="1" applyAlignment="1" applyProtection="1">
      <alignment horizontal="center" vertical="center" wrapText="1"/>
      <protection locked="0"/>
    </xf>
    <xf numFmtId="4" fontId="30" fillId="0" borderId="0" xfId="0" applyNumberFormat="1" applyFont="1" applyAlignment="1" applyProtection="1">
      <alignment horizontal="center" vertical="center" wrapText="1"/>
      <protection locked="0"/>
    </xf>
    <xf numFmtId="0" fontId="14" fillId="0" borderId="50" xfId="0" applyFont="1" applyBorder="1" applyAlignment="1" applyProtection="1">
      <alignment horizontal="justify" vertical="center" wrapText="1"/>
      <protection locked="0"/>
    </xf>
    <xf numFmtId="4" fontId="30" fillId="0" borderId="49" xfId="0" applyNumberFormat="1" applyFont="1" applyBorder="1" applyAlignment="1" applyProtection="1">
      <alignment horizontal="center" vertical="center" wrapText="1"/>
      <protection locked="0"/>
    </xf>
    <xf numFmtId="4" fontId="30" fillId="0" borderId="50" xfId="0" applyNumberFormat="1" applyFont="1" applyBorder="1" applyAlignment="1" applyProtection="1">
      <alignment horizontal="center" vertical="center" wrapText="1"/>
      <protection locked="0"/>
    </xf>
    <xf numFmtId="0" fontId="30" fillId="13" borderId="50" xfId="0" applyFont="1" applyFill="1" applyBorder="1" applyAlignment="1" applyProtection="1">
      <alignment vertical="center" wrapText="1"/>
      <protection locked="0"/>
    </xf>
    <xf numFmtId="0" fontId="30" fillId="13" borderId="51" xfId="0" applyFont="1" applyFill="1" applyBorder="1" applyAlignment="1" applyProtection="1">
      <alignment vertical="center" wrapText="1"/>
      <protection locked="0"/>
    </xf>
    <xf numFmtId="0" fontId="30" fillId="0" borderId="49" xfId="0" applyFont="1" applyBorder="1" applyAlignment="1">
      <alignment horizontal="center" vertical="center"/>
    </xf>
    <xf numFmtId="0" fontId="30" fillId="0" borderId="49" xfId="0" applyFont="1" applyBorder="1" applyAlignment="1">
      <alignment vertical="center" wrapText="1"/>
    </xf>
    <xf numFmtId="0" fontId="30" fillId="0" borderId="50" xfId="0" applyFont="1" applyBorder="1" applyAlignment="1">
      <alignment horizontal="center" vertical="center"/>
    </xf>
    <xf numFmtId="0" fontId="30" fillId="0" borderId="51" xfId="0" applyFont="1" applyBorder="1" applyAlignment="1">
      <alignment vertical="center" wrapText="1"/>
    </xf>
    <xf numFmtId="0" fontId="30" fillId="0" borderId="49" xfId="0" applyFont="1" applyBorder="1" applyAlignment="1" applyProtection="1">
      <alignment horizontal="center" vertical="center" wrapText="1"/>
      <protection locked="0"/>
    </xf>
    <xf numFmtId="0" fontId="30" fillId="0" borderId="49" xfId="0" applyFont="1" applyBorder="1" applyAlignment="1" applyProtection="1">
      <alignment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49" xfId="0" applyFont="1" applyBorder="1" applyAlignment="1" applyProtection="1">
      <alignment horizontal="justify" vertical="center" wrapText="1"/>
      <protection locked="0"/>
    </xf>
    <xf numFmtId="0" fontId="14" fillId="0" borderId="49" xfId="0" applyFont="1" applyBorder="1" applyAlignment="1" applyProtection="1">
      <alignment horizontal="justify" vertical="center" wrapText="1"/>
      <protection locked="0"/>
    </xf>
    <xf numFmtId="4" fontId="0" fillId="0" borderId="0" xfId="0" applyNumberFormat="1"/>
    <xf numFmtId="164" fontId="16" fillId="0" borderId="53" xfId="10" applyNumberFormat="1" applyFont="1" applyBorder="1" applyAlignment="1" applyProtection="1">
      <alignment vertical="center"/>
      <protection hidden="1"/>
    </xf>
    <xf numFmtId="164" fontId="16" fillId="0" borderId="53" xfId="10" applyNumberFormat="1" applyFont="1" applyBorder="1" applyAlignment="1" applyProtection="1">
      <alignment horizontal="center" vertical="center"/>
      <protection locked="0" hidden="1"/>
    </xf>
    <xf numFmtId="4" fontId="32" fillId="13" borderId="5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53" xfId="10" applyNumberFormat="1" applyFont="1" applyBorder="1" applyAlignment="1" applyProtection="1">
      <alignment vertical="center"/>
      <protection locked="0"/>
    </xf>
    <xf numFmtId="0" fontId="32" fillId="13" borderId="50" xfId="0" applyFont="1" applyFill="1" applyBorder="1" applyAlignment="1" applyProtection="1">
      <alignment vertical="center" wrapText="1"/>
      <protection locked="0"/>
    </xf>
    <xf numFmtId="0" fontId="32" fillId="13" borderId="48" xfId="0" applyFont="1" applyFill="1" applyBorder="1" applyAlignment="1" applyProtection="1">
      <alignment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2" fillId="13" borderId="49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4" fontId="32" fillId="13" borderId="48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49" xfId="0" applyFont="1" applyBorder="1" applyAlignment="1">
      <alignment horizontal="left" vertical="center" wrapText="1"/>
    </xf>
    <xf numFmtId="0" fontId="30" fillId="0" borderId="0" xfId="0" applyFont="1"/>
    <xf numFmtId="4" fontId="14" fillId="0" borderId="0" xfId="0" applyNumberFormat="1" applyFont="1" applyAlignment="1">
      <alignment horizontal="center"/>
    </xf>
    <xf numFmtId="4" fontId="14" fillId="0" borderId="0" xfId="0" applyNumberFormat="1" applyFont="1"/>
    <xf numFmtId="0" fontId="14" fillId="0" borderId="0" xfId="0" applyFont="1"/>
    <xf numFmtId="4" fontId="14" fillId="12" borderId="0" xfId="0" applyNumberFormat="1" applyFont="1" applyFill="1" applyAlignment="1">
      <alignment horizontal="center"/>
    </xf>
    <xf numFmtId="4" fontId="14" fillId="12" borderId="0" xfId="0" applyNumberFormat="1" applyFont="1" applyFill="1"/>
    <xf numFmtId="0" fontId="14" fillId="12" borderId="0" xfId="0" applyFont="1" applyFill="1"/>
    <xf numFmtId="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4" fontId="14" fillId="0" borderId="0" xfId="0" applyNumberFormat="1" applyFont="1" applyAlignment="1">
      <alignment horizontal="left"/>
    </xf>
    <xf numFmtId="4" fontId="30" fillId="12" borderId="0" xfId="0" applyNumberFormat="1" applyFont="1" applyFill="1" applyAlignment="1">
      <alignment horizontal="center"/>
    </xf>
    <xf numFmtId="4" fontId="30" fillId="12" borderId="0" xfId="0" applyNumberFormat="1" applyFont="1" applyFill="1"/>
    <xf numFmtId="0" fontId="30" fillId="12" borderId="0" xfId="0" applyFont="1" applyFill="1"/>
    <xf numFmtId="4" fontId="30" fillId="0" borderId="0" xfId="0" applyNumberFormat="1" applyFont="1"/>
    <xf numFmtId="4" fontId="40" fillId="12" borderId="0" xfId="0" applyNumberFormat="1" applyFont="1" applyFill="1" applyAlignment="1">
      <alignment horizontal="center"/>
    </xf>
    <xf numFmtId="4" fontId="14" fillId="12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right"/>
    </xf>
    <xf numFmtId="0" fontId="15" fillId="0" borderId="0" xfId="0" applyFont="1"/>
    <xf numFmtId="0" fontId="14" fillId="12" borderId="0" xfId="0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 wrapText="1"/>
    </xf>
    <xf numFmtId="4" fontId="14" fillId="0" borderId="0" xfId="0" applyNumberFormat="1" applyFont="1" applyAlignment="1">
      <alignment wrapText="1"/>
    </xf>
    <xf numFmtId="0" fontId="14" fillId="12" borderId="0" xfId="0" applyFont="1" applyFill="1" applyAlignment="1">
      <alignment wrapText="1"/>
    </xf>
    <xf numFmtId="0" fontId="14" fillId="0" borderId="0" xfId="0" applyFont="1" applyAlignment="1">
      <alignment wrapText="1"/>
    </xf>
    <xf numFmtId="4" fontId="30" fillId="0" borderId="0" xfId="0" applyNumberFormat="1" applyFont="1" applyAlignment="1">
      <alignment horizontal="center"/>
    </xf>
    <xf numFmtId="2" fontId="14" fillId="0" borderId="0" xfId="0" applyNumberFormat="1" applyFont="1"/>
    <xf numFmtId="4" fontId="30" fillId="0" borderId="0" xfId="0" applyNumberFormat="1" applyFont="1" applyAlignment="1">
      <alignment horizontal="left"/>
    </xf>
    <xf numFmtId="0" fontId="19" fillId="16" borderId="0" xfId="0" applyFont="1" applyFill="1"/>
    <xf numFmtId="0" fontId="30" fillId="16" borderId="0" xfId="0" applyFont="1" applyFill="1"/>
    <xf numFmtId="0" fontId="15" fillId="13" borderId="6" xfId="0" applyFont="1" applyFill="1" applyBorder="1"/>
    <xf numFmtId="0" fontId="15" fillId="13" borderId="7" xfId="0" applyFont="1" applyFill="1" applyBorder="1"/>
    <xf numFmtId="0" fontId="15" fillId="13" borderId="54" xfId="0" applyFont="1" applyFill="1" applyBorder="1"/>
    <xf numFmtId="4" fontId="30" fillId="0" borderId="0" xfId="0" applyNumberFormat="1" applyFont="1" applyAlignment="1" applyProtection="1">
      <alignment vertical="center" wrapText="1"/>
      <protection locked="0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horizontal="right" vertical="center"/>
    </xf>
    <xf numFmtId="10" fontId="32" fillId="0" borderId="0" xfId="9" applyNumberFormat="1" applyFont="1" applyAlignment="1">
      <alignment horizontal="right" vertical="center"/>
    </xf>
    <xf numFmtId="10" fontId="32" fillId="0" borderId="0" xfId="0" applyNumberFormat="1" applyFont="1" applyAlignment="1">
      <alignment horizontal="right" vertical="center"/>
    </xf>
    <xf numFmtId="0" fontId="32" fillId="13" borderId="49" xfId="0" applyFont="1" applyFill="1" applyBorder="1" applyAlignment="1">
      <alignment horizontal="center" vertical="center"/>
    </xf>
    <xf numFmtId="4" fontId="32" fillId="13" borderId="49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4" fontId="30" fillId="0" borderId="49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30" fillId="0" borderId="49" xfId="0" applyFont="1" applyBorder="1" applyAlignment="1">
      <alignment horizontal="left" vertical="center"/>
    </xf>
    <xf numFmtId="2" fontId="30" fillId="0" borderId="49" xfId="0" applyNumberFormat="1" applyFont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4" fontId="30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7" applyFont="1" applyAlignment="1">
      <alignment vertical="center"/>
    </xf>
    <xf numFmtId="49" fontId="43" fillId="0" borderId="0" xfId="7" applyNumberFormat="1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3" fillId="0" borderId="0" xfId="7" applyFont="1" applyAlignment="1">
      <alignment vertical="center"/>
    </xf>
    <xf numFmtId="164" fontId="43" fillId="0" borderId="0" xfId="7" applyNumberFormat="1" applyFont="1" applyAlignment="1">
      <alignment vertical="center"/>
    </xf>
    <xf numFmtId="0" fontId="44" fillId="0" borderId="41" xfId="7" applyFont="1" applyBorder="1" applyAlignment="1">
      <alignment horizontal="center" vertical="center"/>
    </xf>
    <xf numFmtId="0" fontId="44" fillId="0" borderId="42" xfId="7" applyFont="1" applyBorder="1" applyAlignment="1">
      <alignment horizontal="center" vertical="center"/>
    </xf>
    <xf numFmtId="0" fontId="44" fillId="0" borderId="43" xfId="7" applyFont="1" applyBorder="1" applyAlignment="1">
      <alignment horizontal="center" vertical="center"/>
    </xf>
    <xf numFmtId="0" fontId="44" fillId="0" borderId="44" xfId="7" applyFont="1" applyBorder="1" applyAlignment="1">
      <alignment horizontal="center" vertical="center"/>
    </xf>
    <xf numFmtId="0" fontId="44" fillId="0" borderId="45" xfId="7" applyFont="1" applyBorder="1" applyAlignment="1">
      <alignment horizontal="center" vertical="center"/>
    </xf>
    <xf numFmtId="0" fontId="44" fillId="0" borderId="0" xfId="7" applyFont="1" applyAlignment="1">
      <alignment horizontal="center" vertical="center"/>
    </xf>
    <xf numFmtId="0" fontId="43" fillId="0" borderId="38" xfId="7" applyFont="1" applyBorder="1" applyAlignment="1">
      <alignment vertical="center"/>
    </xf>
    <xf numFmtId="49" fontId="43" fillId="0" borderId="39" xfId="7" applyNumberFormat="1" applyFont="1" applyBorder="1" applyAlignment="1">
      <alignment horizontal="center" vertical="center"/>
    </xf>
    <xf numFmtId="0" fontId="43" fillId="0" borderId="39" xfId="7" applyFont="1" applyBorder="1" applyAlignment="1">
      <alignment vertical="center"/>
    </xf>
    <xf numFmtId="0" fontId="43" fillId="0" borderId="40" xfId="7" applyFont="1" applyBorder="1" applyAlignment="1">
      <alignment vertical="center"/>
    </xf>
    <xf numFmtId="0" fontId="43" fillId="0" borderId="41" xfId="7" applyFont="1" applyBorder="1" applyAlignment="1">
      <alignment vertical="center"/>
    </xf>
    <xf numFmtId="0" fontId="13" fillId="0" borderId="39" xfId="7" applyFont="1" applyBorder="1" applyAlignment="1">
      <alignment vertical="center"/>
    </xf>
    <xf numFmtId="0" fontId="13" fillId="0" borderId="46" xfId="7" applyFont="1" applyBorder="1" applyAlignment="1">
      <alignment horizontal="center" vertical="center"/>
    </xf>
    <xf numFmtId="0" fontId="43" fillId="0" borderId="42" xfId="7" applyFont="1" applyBorder="1" applyAlignment="1">
      <alignment vertical="center"/>
    </xf>
    <xf numFmtId="49" fontId="45" fillId="0" borderId="47" xfId="7" applyNumberFormat="1" applyFont="1" applyBorder="1" applyAlignment="1">
      <alignment horizontal="center" vertical="center"/>
    </xf>
    <xf numFmtId="49" fontId="2" fillId="0" borderId="47" xfId="7" applyNumberFormat="1" applyFont="1" applyBorder="1" applyAlignment="1">
      <alignment horizontal="center" vertical="center"/>
    </xf>
    <xf numFmtId="0" fontId="43" fillId="0" borderId="43" xfId="7" applyFont="1" applyBorder="1" applyAlignment="1">
      <alignment vertical="center"/>
    </xf>
    <xf numFmtId="49" fontId="2" fillId="0" borderId="44" xfId="7" applyNumberFormat="1" applyFont="1" applyBorder="1" applyAlignment="1">
      <alignment horizontal="left" vertical="center" indent="1"/>
    </xf>
    <xf numFmtId="49" fontId="2" fillId="0" borderId="44" xfId="7" applyNumberFormat="1" applyFont="1" applyBorder="1" applyAlignment="1">
      <alignment horizontal="center" vertical="center"/>
    </xf>
    <xf numFmtId="0" fontId="43" fillId="0" borderId="45" xfId="7" applyFont="1" applyBorder="1" applyAlignment="1">
      <alignment vertical="center"/>
    </xf>
    <xf numFmtId="0" fontId="43" fillId="0" borderId="48" xfId="7" applyFont="1" applyBorder="1" applyAlignment="1">
      <alignment vertical="center"/>
    </xf>
    <xf numFmtId="49" fontId="2" fillId="0" borderId="48" xfId="7" applyNumberFormat="1" applyFont="1" applyBorder="1" applyAlignment="1">
      <alignment horizontal="left" vertical="center" indent="1"/>
    </xf>
    <xf numFmtId="49" fontId="2" fillId="0" borderId="48" xfId="7" applyNumberFormat="1" applyFont="1" applyBorder="1" applyAlignment="1">
      <alignment horizontal="center" vertical="center"/>
    </xf>
    <xf numFmtId="0" fontId="43" fillId="0" borderId="41" xfId="7" applyFont="1" applyBorder="1" applyAlignment="1">
      <alignment horizontal="center" vertical="center"/>
    </xf>
    <xf numFmtId="0" fontId="43" fillId="0" borderId="42" xfId="7" applyFont="1" applyBorder="1" applyAlignment="1">
      <alignment horizontal="center" vertical="center"/>
    </xf>
    <xf numFmtId="0" fontId="43" fillId="0" borderId="0" xfId="7" applyFont="1" applyAlignment="1">
      <alignment horizontal="center" vertical="center"/>
    </xf>
    <xf numFmtId="0" fontId="13" fillId="0" borderId="49" xfId="7" applyFont="1" applyBorder="1" applyAlignment="1">
      <alignment horizontal="center" vertical="center"/>
    </xf>
    <xf numFmtId="49" fontId="13" fillId="0" borderId="49" xfId="7" applyNumberFormat="1" applyFont="1" applyBorder="1" applyAlignment="1">
      <alignment horizontal="center" vertical="center"/>
    </xf>
    <xf numFmtId="0" fontId="13" fillId="0" borderId="49" xfId="7" applyFont="1" applyBorder="1" applyAlignment="1">
      <alignment horizontal="left" vertical="center" wrapText="1" indent="1"/>
    </xf>
    <xf numFmtId="164" fontId="13" fillId="0" borderId="49" xfId="11" applyFont="1" applyBorder="1" applyAlignment="1">
      <alignment vertical="center"/>
    </xf>
    <xf numFmtId="49" fontId="13" fillId="0" borderId="49" xfId="11" applyNumberFormat="1" applyFont="1" applyBorder="1" applyAlignment="1">
      <alignment horizontal="right" vertical="center" indent="1"/>
    </xf>
    <xf numFmtId="2" fontId="43" fillId="0" borderId="0" xfId="7" applyNumberFormat="1" applyFont="1" applyAlignment="1">
      <alignment vertical="center"/>
    </xf>
    <xf numFmtId="168" fontId="43" fillId="0" borderId="0" xfId="7" applyNumberFormat="1" applyFont="1" applyAlignment="1">
      <alignment vertical="center"/>
    </xf>
    <xf numFmtId="167" fontId="13" fillId="0" borderId="49" xfId="11" applyNumberFormat="1" applyFont="1" applyBorder="1" applyAlignment="1">
      <alignment vertical="center"/>
    </xf>
    <xf numFmtId="0" fontId="13" fillId="0" borderId="49" xfId="7" applyFont="1" applyBorder="1" applyAlignment="1">
      <alignment horizontal="left" vertical="center" indent="1"/>
    </xf>
    <xf numFmtId="49" fontId="13" fillId="0" borderId="49" xfId="11" applyNumberFormat="1" applyFont="1" applyBorder="1" applyAlignment="1">
      <alignment horizontal="left" vertical="center" indent="1"/>
    </xf>
    <xf numFmtId="0" fontId="13" fillId="0" borderId="0" xfId="7" applyFont="1" applyAlignment="1">
      <alignment horizontal="left" vertical="center" indent="1"/>
    </xf>
    <xf numFmtId="0" fontId="13" fillId="0" borderId="0" xfId="7" applyFont="1" applyAlignment="1">
      <alignment horizontal="center" vertical="center"/>
    </xf>
    <xf numFmtId="164" fontId="13" fillId="0" borderId="0" xfId="11" applyFont="1" applyAlignment="1">
      <alignment vertical="center"/>
    </xf>
    <xf numFmtId="49" fontId="13" fillId="0" borderId="0" xfId="11" applyNumberFormat="1" applyFont="1" applyAlignment="1">
      <alignment horizontal="left" vertical="center" indent="1"/>
    </xf>
    <xf numFmtId="0" fontId="13" fillId="0" borderId="50" xfId="7" applyFont="1" applyBorder="1" applyAlignment="1">
      <alignment horizontal="left" vertical="center" indent="1"/>
    </xf>
    <xf numFmtId="0" fontId="13" fillId="0" borderId="48" xfId="7" applyFont="1" applyBorder="1" applyAlignment="1">
      <alignment horizontal="center" vertical="center"/>
    </xf>
    <xf numFmtId="164" fontId="13" fillId="0" borderId="48" xfId="11" applyFont="1" applyBorder="1" applyAlignment="1">
      <alignment vertical="center"/>
    </xf>
    <xf numFmtId="164" fontId="13" fillId="0" borderId="51" xfId="11" applyFont="1" applyBorder="1" applyAlignment="1">
      <alignment vertical="center"/>
    </xf>
    <xf numFmtId="164" fontId="13" fillId="8" borderId="50" xfId="11" applyFont="1" applyFill="1" applyBorder="1" applyAlignment="1">
      <alignment vertical="center"/>
    </xf>
    <xf numFmtId="164" fontId="13" fillId="8" borderId="51" xfId="11" applyFont="1" applyFill="1" applyBorder="1" applyAlignment="1">
      <alignment vertical="center"/>
    </xf>
    <xf numFmtId="164" fontId="13" fillId="9" borderId="49" xfId="11" applyFont="1" applyFill="1" applyBorder="1" applyAlignment="1">
      <alignment vertical="center"/>
    </xf>
    <xf numFmtId="164" fontId="13" fillId="8" borderId="49" xfId="11" applyFont="1" applyFill="1" applyBorder="1" applyAlignment="1">
      <alignment vertical="center"/>
    </xf>
    <xf numFmtId="164" fontId="13" fillId="8" borderId="48" xfId="11" applyFont="1" applyFill="1" applyBorder="1" applyAlignment="1">
      <alignment vertical="center"/>
    </xf>
    <xf numFmtId="0" fontId="46" fillId="0" borderId="0" xfId="7" applyFont="1" applyAlignment="1">
      <alignment vertical="center"/>
    </xf>
    <xf numFmtId="0" fontId="13" fillId="0" borderId="48" xfId="7" applyFont="1" applyBorder="1" applyAlignment="1">
      <alignment horizontal="left" vertical="center" indent="1"/>
    </xf>
    <xf numFmtId="0" fontId="13" fillId="0" borderId="51" xfId="7" applyFont="1" applyBorder="1" applyAlignment="1">
      <alignment horizontal="left" vertical="center" indent="1"/>
    </xf>
    <xf numFmtId="0" fontId="45" fillId="0" borderId="50" xfId="7" applyFont="1" applyBorder="1" applyAlignment="1">
      <alignment horizontal="left" vertical="center" indent="1"/>
    </xf>
    <xf numFmtId="0" fontId="45" fillId="0" borderId="48" xfId="7" applyFont="1" applyBorder="1" applyAlignment="1">
      <alignment horizontal="left" vertical="center" indent="1"/>
    </xf>
    <xf numFmtId="0" fontId="45" fillId="0" borderId="51" xfId="7" applyFont="1" applyBorder="1" applyAlignment="1">
      <alignment horizontal="left" vertical="center" indent="1"/>
    </xf>
    <xf numFmtId="164" fontId="45" fillId="0" borderId="49" xfId="11" applyFont="1" applyBorder="1" applyAlignment="1">
      <alignment vertical="center"/>
    </xf>
    <xf numFmtId="164" fontId="47" fillId="0" borderId="0" xfId="11" applyFont="1" applyAlignment="1">
      <alignment vertical="center"/>
    </xf>
    <xf numFmtId="49" fontId="13" fillId="0" borderId="44" xfId="7" applyNumberFormat="1" applyFont="1" applyBorder="1" applyAlignment="1">
      <alignment horizontal="center" vertical="center"/>
    </xf>
    <xf numFmtId="0" fontId="13" fillId="0" borderId="44" xfId="7" applyFont="1" applyBorder="1" applyAlignment="1">
      <alignment vertical="center"/>
    </xf>
    <xf numFmtId="49" fontId="13" fillId="0" borderId="39" xfId="7" applyNumberFormat="1" applyFont="1" applyBorder="1" applyAlignment="1">
      <alignment horizontal="center" vertical="center"/>
    </xf>
    <xf numFmtId="49" fontId="13" fillId="0" borderId="38" xfId="7" applyNumberFormat="1" applyFont="1" applyBorder="1" applyAlignment="1">
      <alignment horizontal="left" vertical="center" indent="1"/>
    </xf>
    <xf numFmtId="0" fontId="13" fillId="0" borderId="39" xfId="7" applyFont="1" applyBorder="1" applyAlignment="1">
      <alignment horizontal="left" vertical="center" indent="1"/>
    </xf>
    <xf numFmtId="0" fontId="13" fillId="0" borderId="40" xfId="7" applyFont="1" applyBorder="1" applyAlignment="1">
      <alignment vertical="center"/>
    </xf>
    <xf numFmtId="49" fontId="13" fillId="0" borderId="41" xfId="7" applyNumberFormat="1" applyFont="1" applyBorder="1" applyAlignment="1">
      <alignment horizontal="left" vertical="center" indent="1"/>
    </xf>
    <xf numFmtId="49" fontId="13" fillId="0" borderId="43" xfId="7" applyNumberFormat="1" applyFont="1" applyBorder="1" applyAlignment="1">
      <alignment horizontal="left" vertical="center" indent="1"/>
    </xf>
    <xf numFmtId="49" fontId="13" fillId="0" borderId="0" xfId="7" applyNumberFormat="1" applyFont="1" applyAlignment="1">
      <alignment horizontal="left" vertical="center" indent="1"/>
    </xf>
    <xf numFmtId="0" fontId="13" fillId="0" borderId="44" xfId="7" applyFont="1" applyBorder="1" applyAlignment="1">
      <alignment horizontal="left" vertical="center" indent="1"/>
    </xf>
    <xf numFmtId="0" fontId="13" fillId="0" borderId="45" xfId="7" applyFont="1" applyBorder="1" applyAlignment="1">
      <alignment vertical="center"/>
    </xf>
    <xf numFmtId="49" fontId="2" fillId="0" borderId="43" xfId="7" applyNumberFormat="1" applyFont="1" applyBorder="1" applyAlignment="1">
      <alignment horizontal="left" vertical="center" indent="1"/>
    </xf>
    <xf numFmtId="0" fontId="13" fillId="0" borderId="0" xfId="7" applyFont="1" applyAlignment="1">
      <alignment horizontal="left" vertical="center" wrapText="1"/>
    </xf>
    <xf numFmtId="0" fontId="13" fillId="0" borderId="42" xfId="7" applyFont="1" applyBorder="1" applyAlignment="1">
      <alignment horizontal="left" vertical="center" wrapText="1"/>
    </xf>
    <xf numFmtId="0" fontId="48" fillId="0" borderId="48" xfId="7" applyFont="1" applyBorder="1" applyAlignment="1">
      <alignment vertical="center"/>
    </xf>
    <xf numFmtId="49" fontId="49" fillId="0" borderId="48" xfId="7" applyNumberFormat="1" applyFont="1" applyBorder="1" applyAlignment="1">
      <alignment horizontal="left" vertical="center" indent="1"/>
    </xf>
    <xf numFmtId="49" fontId="49" fillId="0" borderId="48" xfId="7" applyNumberFormat="1" applyFont="1" applyBorder="1" applyAlignment="1">
      <alignment horizontal="center" vertical="center"/>
    </xf>
    <xf numFmtId="0" fontId="48" fillId="0" borderId="0" xfId="7" applyFont="1" applyAlignment="1">
      <alignment vertical="center"/>
    </xf>
    <xf numFmtId="0" fontId="48" fillId="0" borderId="38" xfId="7" applyFont="1" applyBorder="1" applyAlignment="1">
      <alignment vertical="center"/>
    </xf>
    <xf numFmtId="49" fontId="48" fillId="0" borderId="39" xfId="7" applyNumberFormat="1" applyFont="1" applyBorder="1" applyAlignment="1">
      <alignment horizontal="center" vertical="center"/>
    </xf>
    <xf numFmtId="0" fontId="48" fillId="0" borderId="39" xfId="7" applyFont="1" applyBorder="1" applyAlignment="1">
      <alignment vertical="center"/>
    </xf>
    <xf numFmtId="0" fontId="48" fillId="0" borderId="40" xfId="7" applyFont="1" applyBorder="1" applyAlignment="1">
      <alignment vertical="center"/>
    </xf>
    <xf numFmtId="0" fontId="48" fillId="0" borderId="41" xfId="7" applyFont="1" applyBorder="1" applyAlignment="1">
      <alignment horizontal="center" vertical="center"/>
    </xf>
    <xf numFmtId="0" fontId="48" fillId="0" borderId="42" xfId="7" applyFont="1" applyBorder="1" applyAlignment="1">
      <alignment horizontal="center" vertical="center"/>
    </xf>
    <xf numFmtId="0" fontId="48" fillId="0" borderId="0" xfId="7" applyFont="1" applyAlignment="1">
      <alignment horizontal="center" vertical="center"/>
    </xf>
    <xf numFmtId="0" fontId="19" fillId="0" borderId="49" xfId="7" applyFont="1" applyBorder="1" applyAlignment="1">
      <alignment horizontal="center" vertical="center"/>
    </xf>
    <xf numFmtId="0" fontId="48" fillId="0" borderId="41" xfId="7" applyFont="1" applyBorder="1" applyAlignment="1">
      <alignment vertical="center"/>
    </xf>
    <xf numFmtId="49" fontId="19" fillId="0" borderId="0" xfId="7" applyNumberFormat="1" applyFont="1" applyAlignment="1">
      <alignment horizontal="center" vertical="center"/>
    </xf>
    <xf numFmtId="0" fontId="19" fillId="0" borderId="0" xfId="7" applyFont="1" applyAlignment="1">
      <alignment vertical="center"/>
    </xf>
    <xf numFmtId="0" fontId="48" fillId="0" borderId="42" xfId="7" applyFont="1" applyBorder="1" applyAlignment="1">
      <alignment vertical="center"/>
    </xf>
    <xf numFmtId="49" fontId="19" fillId="0" borderId="49" xfId="7" applyNumberFormat="1" applyFont="1" applyBorder="1" applyAlignment="1">
      <alignment horizontal="center" vertical="center"/>
    </xf>
    <xf numFmtId="0" fontId="19" fillId="0" borderId="49" xfId="7" applyFont="1" applyBorder="1" applyAlignment="1">
      <alignment horizontal="left" vertical="center" wrapText="1" indent="1"/>
    </xf>
    <xf numFmtId="167" fontId="19" fillId="0" borderId="49" xfId="11" applyNumberFormat="1" applyFont="1" applyBorder="1" applyAlignment="1">
      <alignment vertical="center"/>
    </xf>
    <xf numFmtId="164" fontId="19" fillId="0" borderId="49" xfId="11" applyFont="1" applyBorder="1" applyAlignment="1">
      <alignment vertical="center"/>
    </xf>
    <xf numFmtId="49" fontId="19" fillId="0" borderId="49" xfId="11" applyNumberFormat="1" applyFont="1" applyBorder="1" applyAlignment="1">
      <alignment horizontal="right" vertical="center" indent="1"/>
    </xf>
    <xf numFmtId="2" fontId="48" fillId="0" borderId="0" xfId="7" applyNumberFormat="1" applyFont="1" applyAlignment="1">
      <alignment vertical="center"/>
    </xf>
    <xf numFmtId="168" fontId="48" fillId="0" borderId="0" xfId="7" applyNumberFormat="1" applyFont="1" applyAlignment="1">
      <alignment vertical="center"/>
    </xf>
    <xf numFmtId="49" fontId="45" fillId="0" borderId="47" xfId="7" applyNumberFormat="1" applyFont="1" applyBorder="1" applyAlignment="1">
      <alignment horizontal="center" vertical="center" wrapText="1"/>
    </xf>
    <xf numFmtId="49" fontId="13" fillId="0" borderId="49" xfId="11" applyNumberFormat="1" applyFont="1" applyBorder="1" applyAlignment="1">
      <alignment horizontal="left" vertical="center"/>
    </xf>
    <xf numFmtId="43" fontId="43" fillId="0" borderId="0" xfId="7" applyNumberFormat="1" applyFont="1" applyAlignment="1">
      <alignment vertical="center"/>
    </xf>
    <xf numFmtId="164" fontId="13" fillId="0" borderId="50" xfId="11" applyFont="1" applyBorder="1" applyAlignment="1">
      <alignment vertical="center"/>
    </xf>
    <xf numFmtId="4" fontId="14" fillId="12" borderId="0" xfId="0" applyNumberFormat="1" applyFont="1" applyFill="1" applyAlignment="1">
      <alignment horizontal="center" wrapText="1"/>
    </xf>
    <xf numFmtId="4" fontId="14" fillId="12" borderId="0" xfId="0" applyNumberFormat="1" applyFont="1" applyFill="1" applyAlignment="1">
      <alignment wrapText="1"/>
    </xf>
    <xf numFmtId="0" fontId="33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right" vertical="center" wrapText="1"/>
    </xf>
    <xf numFmtId="10" fontId="32" fillId="0" borderId="0" xfId="0" applyNumberFormat="1" applyFont="1" applyAlignment="1">
      <alignment horizontal="right" vertical="center" wrapText="1"/>
    </xf>
    <xf numFmtId="4" fontId="30" fillId="0" borderId="0" xfId="0" applyNumberFormat="1" applyFont="1" applyAlignment="1">
      <alignment vertical="center" wrapText="1"/>
    </xf>
    <xf numFmtId="0" fontId="30" fillId="0" borderId="49" xfId="0" applyFont="1" applyBorder="1" applyAlignment="1">
      <alignment horizontal="justify" vertical="center" wrapText="1"/>
    </xf>
    <xf numFmtId="4" fontId="30" fillId="0" borderId="49" xfId="0" applyNumberFormat="1" applyFont="1" applyBorder="1" applyAlignment="1">
      <alignment horizontal="right" vertical="center"/>
    </xf>
    <xf numFmtId="0" fontId="14" fillId="0" borderId="49" xfId="0" applyFont="1" applyBorder="1" applyAlignment="1">
      <alignment horizontal="justify" vertical="center" wrapText="1"/>
    </xf>
    <xf numFmtId="4" fontId="14" fillId="0" borderId="49" xfId="0" applyNumberFormat="1" applyFont="1" applyBorder="1" applyAlignment="1">
      <alignment horizontal="right" vertical="center"/>
    </xf>
    <xf numFmtId="0" fontId="30" fillId="0" borderId="49" xfId="0" applyFont="1" applyBorder="1" applyAlignment="1">
      <alignment horizontal="center" vertical="center" wrapText="1"/>
    </xf>
    <xf numFmtId="4" fontId="32" fillId="13" borderId="49" xfId="0" applyNumberFormat="1" applyFont="1" applyFill="1" applyBorder="1" applyAlignment="1">
      <alignment horizontal="right" vertical="center"/>
    </xf>
    <xf numFmtId="0" fontId="30" fillId="13" borderId="46" xfId="0" applyFont="1" applyFill="1" applyBorder="1" applyAlignment="1">
      <alignment horizontal="center" vertical="center"/>
    </xf>
    <xf numFmtId="0" fontId="30" fillId="13" borderId="46" xfId="0" applyFont="1" applyFill="1" applyBorder="1" applyAlignment="1">
      <alignment vertical="center"/>
    </xf>
    <xf numFmtId="4" fontId="30" fillId="13" borderId="46" xfId="0" applyNumberFormat="1" applyFont="1" applyFill="1" applyBorder="1" applyAlignment="1">
      <alignment horizontal="center" vertical="center"/>
    </xf>
    <xf numFmtId="0" fontId="32" fillId="13" borderId="47" xfId="0" applyFont="1" applyFill="1" applyBorder="1" applyAlignment="1">
      <alignment horizontal="center" vertical="center"/>
    </xf>
    <xf numFmtId="4" fontId="32" fillId="13" borderId="47" xfId="0" applyNumberFormat="1" applyFont="1" applyFill="1" applyBorder="1" applyAlignment="1">
      <alignment horizontal="center" vertical="center"/>
    </xf>
    <xf numFmtId="0" fontId="0" fillId="0" borderId="48" xfId="0" applyBorder="1"/>
    <xf numFmtId="0" fontId="30" fillId="0" borderId="46" xfId="0" applyFont="1" applyBorder="1" applyAlignment="1">
      <alignment horizontal="center" vertical="center"/>
    </xf>
    <xf numFmtId="0" fontId="30" fillId="0" borderId="46" xfId="0" applyFont="1" applyBorder="1" applyAlignment="1">
      <alignment horizontal="left" vertical="center"/>
    </xf>
    <xf numFmtId="4" fontId="30" fillId="0" borderId="46" xfId="0" applyNumberFormat="1" applyFont="1" applyBorder="1" applyAlignment="1">
      <alignment horizontal="center" vertical="center"/>
    </xf>
    <xf numFmtId="2" fontId="30" fillId="0" borderId="46" xfId="0" applyNumberFormat="1" applyFont="1" applyBorder="1" applyAlignment="1">
      <alignment horizontal="right" vertical="center"/>
    </xf>
    <xf numFmtId="0" fontId="30" fillId="0" borderId="47" xfId="0" applyFont="1" applyBorder="1" applyAlignment="1">
      <alignment horizontal="center" vertical="center"/>
    </xf>
    <xf numFmtId="0" fontId="30" fillId="0" borderId="47" xfId="0" applyFont="1" applyBorder="1" applyAlignment="1">
      <alignment vertical="center" wrapText="1"/>
    </xf>
    <xf numFmtId="4" fontId="30" fillId="0" borderId="47" xfId="0" applyNumberFormat="1" applyFont="1" applyBorder="1" applyAlignment="1">
      <alignment horizontal="center" vertical="center"/>
    </xf>
    <xf numFmtId="0" fontId="30" fillId="0" borderId="0" xfId="0" applyFont="1" applyAlignment="1" applyProtection="1">
      <alignment vertical="center"/>
      <protection locked="0"/>
    </xf>
    <xf numFmtId="49" fontId="30" fillId="0" borderId="49" xfId="0" applyNumberFormat="1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2" fontId="30" fillId="0" borderId="49" xfId="0" applyNumberFormat="1" applyFont="1" applyBorder="1" applyAlignment="1">
      <alignment horizontal="center" vertical="center"/>
    </xf>
    <xf numFmtId="0" fontId="30" fillId="0" borderId="42" xfId="0" applyFont="1" applyBorder="1" applyAlignment="1" applyProtection="1">
      <alignment horizontal="center" vertical="center" wrapText="1"/>
      <protection locked="0"/>
    </xf>
    <xf numFmtId="43" fontId="30" fillId="0" borderId="0" xfId="13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wrapText="1"/>
    </xf>
    <xf numFmtId="4" fontId="32" fillId="13" borderId="0" xfId="0" applyNumberFormat="1" applyFont="1" applyFill="1" applyAlignment="1" applyProtection="1">
      <alignment horizontal="center" vertical="center" wrapText="1"/>
      <protection locked="0"/>
    </xf>
    <xf numFmtId="0" fontId="30" fillId="0" borderId="88" xfId="0" applyFont="1" applyBorder="1" applyAlignment="1">
      <alignment horizontal="center" vertical="center"/>
    </xf>
    <xf numFmtId="0" fontId="30" fillId="0" borderId="88" xfId="0" applyFont="1" applyBorder="1" applyAlignment="1">
      <alignment horizontal="left" vertical="center"/>
    </xf>
    <xf numFmtId="4" fontId="30" fillId="0" borderId="88" xfId="0" applyNumberFormat="1" applyFont="1" applyBorder="1" applyAlignment="1">
      <alignment horizontal="center" vertical="center"/>
    </xf>
    <xf numFmtId="2" fontId="30" fillId="0" borderId="88" xfId="0" applyNumberFormat="1" applyFont="1" applyBorder="1" applyAlignment="1">
      <alignment horizontal="right" vertical="center"/>
    </xf>
    <xf numFmtId="43" fontId="30" fillId="0" borderId="0" xfId="13" applyFont="1" applyAlignment="1" applyProtection="1">
      <alignment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vertical="center"/>
      <protection locked="0"/>
    </xf>
    <xf numFmtId="43" fontId="30" fillId="0" borderId="0" xfId="0" applyNumberFormat="1" applyFont="1" applyAlignment="1" applyProtection="1">
      <alignment vertical="center" wrapText="1"/>
      <protection locked="0"/>
    </xf>
    <xf numFmtId="0" fontId="16" fillId="0" borderId="67" xfId="6" applyFont="1" applyBorder="1" applyAlignment="1">
      <alignment horizontal="center" vertical="center"/>
    </xf>
    <xf numFmtId="164" fontId="16" fillId="0" borderId="68" xfId="10" applyNumberFormat="1" applyFont="1" applyBorder="1" applyAlignment="1" applyProtection="1">
      <alignment vertical="center"/>
      <protection hidden="1"/>
    </xf>
    <xf numFmtId="0" fontId="50" fillId="0" borderId="0" xfId="0" applyFont="1" applyAlignment="1">
      <alignment vertical="center"/>
    </xf>
    <xf numFmtId="0" fontId="16" fillId="0" borderId="57" xfId="6" applyFont="1" applyBorder="1" applyAlignment="1">
      <alignment horizontal="center" vertical="center"/>
    </xf>
    <xf numFmtId="43" fontId="20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6" fillId="0" borderId="87" xfId="6" applyFont="1" applyBorder="1" applyAlignment="1" applyProtection="1">
      <alignment vertical="center"/>
      <protection hidden="1"/>
    </xf>
    <xf numFmtId="0" fontId="36" fillId="0" borderId="55" xfId="6" applyFont="1" applyBorder="1" applyAlignment="1" applyProtection="1">
      <alignment vertical="center"/>
      <protection hidden="1"/>
    </xf>
    <xf numFmtId="0" fontId="20" fillId="14" borderId="6" xfId="0" applyFont="1" applyFill="1" applyBorder="1" applyAlignment="1">
      <alignment vertical="center"/>
    </xf>
    <xf numFmtId="0" fontId="20" fillId="14" borderId="7" xfId="0" applyFont="1" applyFill="1" applyBorder="1" applyAlignment="1">
      <alignment vertical="center"/>
    </xf>
    <xf numFmtId="0" fontId="20" fillId="14" borderId="62" xfId="0" applyFont="1" applyFill="1" applyBorder="1" applyAlignment="1">
      <alignment vertical="center"/>
    </xf>
    <xf numFmtId="0" fontId="50" fillId="14" borderId="6" xfId="0" applyFont="1" applyFill="1" applyBorder="1" applyAlignment="1">
      <alignment vertical="center"/>
    </xf>
    <xf numFmtId="0" fontId="50" fillId="14" borderId="7" xfId="0" applyFont="1" applyFill="1" applyBorder="1" applyAlignment="1">
      <alignment vertical="center"/>
    </xf>
    <xf numFmtId="0" fontId="50" fillId="14" borderId="62" xfId="0" applyFont="1" applyFill="1" applyBorder="1" applyAlignment="1">
      <alignment vertical="center"/>
    </xf>
    <xf numFmtId="0" fontId="16" fillId="0" borderId="5" xfId="6" applyFont="1" applyBorder="1" applyAlignment="1" applyProtection="1">
      <alignment vertical="center" wrapText="1"/>
      <protection locked="0" hidden="1"/>
    </xf>
    <xf numFmtId="0" fontId="16" fillId="0" borderId="36" xfId="6" applyFont="1" applyBorder="1" applyAlignment="1" applyProtection="1">
      <alignment vertical="center" wrapText="1"/>
      <protection locked="0" hidden="1"/>
    </xf>
    <xf numFmtId="0" fontId="35" fillId="0" borderId="0" xfId="6" applyFont="1" applyAlignment="1" applyProtection="1">
      <alignment vertical="center"/>
      <protection hidden="1"/>
    </xf>
    <xf numFmtId="49" fontId="13" fillId="0" borderId="44" xfId="7" applyNumberFormat="1" applyFont="1" applyBorder="1" applyAlignment="1">
      <alignment horizontal="left" vertical="center" indent="1"/>
    </xf>
    <xf numFmtId="0" fontId="43" fillId="0" borderId="50" xfId="7" applyFont="1" applyBorder="1" applyAlignment="1">
      <alignment vertical="center"/>
    </xf>
    <xf numFmtId="49" fontId="13" fillId="0" borderId="48" xfId="7" applyNumberFormat="1" applyFont="1" applyBorder="1" applyAlignment="1">
      <alignment horizontal="center" vertical="center"/>
    </xf>
    <xf numFmtId="0" fontId="13" fillId="0" borderId="48" xfId="7" applyFont="1" applyBorder="1" applyAlignment="1">
      <alignment vertical="center"/>
    </xf>
    <xf numFmtId="0" fontId="43" fillId="0" borderId="51" xfId="7" applyFont="1" applyBorder="1" applyAlignment="1">
      <alignment vertical="center"/>
    </xf>
    <xf numFmtId="49" fontId="43" fillId="0" borderId="44" xfId="7" applyNumberFormat="1" applyFont="1" applyBorder="1" applyAlignment="1">
      <alignment horizontal="center" vertical="center"/>
    </xf>
    <xf numFmtId="0" fontId="43" fillId="0" borderId="44" xfId="7" applyFont="1" applyBorder="1" applyAlignment="1">
      <alignment vertical="center"/>
    </xf>
    <xf numFmtId="0" fontId="37" fillId="0" borderId="0" xfId="0" applyFont="1" applyAlignment="1" applyProtection="1">
      <alignment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37" fillId="0" borderId="0" xfId="0" applyFont="1"/>
    <xf numFmtId="0" fontId="2" fillId="0" borderId="0" xfId="0" applyFont="1" applyAlignment="1">
      <alignment horizontal="left" vertical="center"/>
    </xf>
    <xf numFmtId="0" fontId="49" fillId="0" borderId="0" xfId="0" applyFont="1"/>
    <xf numFmtId="44" fontId="37" fillId="0" borderId="0" xfId="14" applyFont="1"/>
    <xf numFmtId="10" fontId="37" fillId="0" borderId="0" xfId="9" applyNumberFormat="1" applyFont="1"/>
    <xf numFmtId="0" fontId="49" fillId="17" borderId="0" xfId="0" applyFont="1" applyFill="1"/>
    <xf numFmtId="44" fontId="49" fillId="17" borderId="0" xfId="0" applyNumberFormat="1" applyFont="1" applyFill="1"/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5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44" fontId="0" fillId="0" borderId="52" xfId="14" applyFont="1" applyBorder="1" applyAlignment="1">
      <alignment vertical="center" wrapText="1"/>
    </xf>
    <xf numFmtId="44" fontId="0" fillId="0" borderId="52" xfId="14" applyFont="1" applyBorder="1" applyAlignment="1">
      <alignment vertical="center"/>
    </xf>
    <xf numFmtId="0" fontId="51" fillId="0" borderId="0" xfId="0" applyFont="1" applyAlignment="1">
      <alignment horizontal="right" vertical="center"/>
    </xf>
    <xf numFmtId="44" fontId="51" fillId="0" borderId="0" xfId="14" applyFont="1" applyAlignment="1">
      <alignment vertical="center"/>
    </xf>
    <xf numFmtId="44" fontId="0" fillId="0" borderId="0" xfId="14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2" fillId="0" borderId="0" xfId="7" applyAlignment="1">
      <alignment vertical="center"/>
    </xf>
    <xf numFmtId="49" fontId="12" fillId="0" borderId="0" xfId="7" applyNumberFormat="1" applyAlignment="1">
      <alignment horizontal="center" vertical="center"/>
    </xf>
    <xf numFmtId="0" fontId="54" fillId="0" borderId="41" xfId="7" applyFont="1" applyBorder="1" applyAlignment="1">
      <alignment horizontal="center" vertical="center"/>
    </xf>
    <xf numFmtId="0" fontId="54" fillId="0" borderId="42" xfId="7" applyFont="1" applyBorder="1" applyAlignment="1">
      <alignment horizontal="center" vertical="center"/>
    </xf>
    <xf numFmtId="0" fontId="54" fillId="0" borderId="43" xfId="7" applyFont="1" applyBorder="1" applyAlignment="1">
      <alignment horizontal="center" vertical="center"/>
    </xf>
    <xf numFmtId="0" fontId="54" fillId="0" borderId="44" xfId="7" applyFont="1" applyBorder="1" applyAlignment="1">
      <alignment horizontal="center" vertical="center"/>
    </xf>
    <xf numFmtId="0" fontId="54" fillId="0" borderId="45" xfId="7" applyFont="1" applyBorder="1" applyAlignment="1">
      <alignment horizontal="center" vertical="center"/>
    </xf>
    <xf numFmtId="0" fontId="54" fillId="0" borderId="0" xfId="7" applyFont="1" applyAlignment="1">
      <alignment horizontal="center" vertical="center"/>
    </xf>
    <xf numFmtId="0" fontId="12" fillId="0" borderId="38" xfId="7" applyBorder="1" applyAlignment="1">
      <alignment vertical="center"/>
    </xf>
    <xf numFmtId="49" fontId="12" fillId="0" borderId="39" xfId="7" applyNumberFormat="1" applyBorder="1" applyAlignment="1">
      <alignment horizontal="center" vertical="center"/>
    </xf>
    <xf numFmtId="0" fontId="12" fillId="0" borderId="39" xfId="7" applyBorder="1" applyAlignment="1">
      <alignment vertical="center"/>
    </xf>
    <xf numFmtId="0" fontId="12" fillId="0" borderId="40" xfId="7" applyBorder="1" applyAlignment="1">
      <alignment vertical="center"/>
    </xf>
    <xf numFmtId="0" fontId="19" fillId="0" borderId="49" xfId="6" applyFont="1" applyBorder="1" applyAlignment="1">
      <alignment horizontal="center" vertical="center"/>
    </xf>
    <xf numFmtId="0" fontId="13" fillId="0" borderId="49" xfId="15" applyFont="1" applyBorder="1" applyAlignment="1">
      <alignment horizontal="center" vertical="center"/>
    </xf>
    <xf numFmtId="4" fontId="16" fillId="0" borderId="4" xfId="6" applyNumberFormat="1" applyFont="1" applyBorder="1" applyAlignment="1" applyProtection="1">
      <alignment vertical="center"/>
      <protection locked="0" hidden="1"/>
    </xf>
    <xf numFmtId="0" fontId="56" fillId="0" borderId="0" xfId="7" applyFont="1" applyAlignment="1">
      <alignment vertical="center"/>
    </xf>
    <xf numFmtId="0" fontId="0" fillId="0" borderId="71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72" xfId="0" applyBorder="1" applyAlignment="1">
      <alignment horizontal="left"/>
    </xf>
    <xf numFmtId="0" fontId="2" fillId="0" borderId="78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0" fillId="0" borderId="73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2" fontId="0" fillId="6" borderId="52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0" fillId="4" borderId="0" xfId="0" applyFill="1"/>
    <xf numFmtId="0" fontId="9" fillId="0" borderId="81" xfId="0" applyFont="1" applyBorder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0" borderId="76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77" xfId="0" applyBorder="1" applyAlignment="1">
      <alignment horizontal="left"/>
    </xf>
    <xf numFmtId="0" fontId="13" fillId="0" borderId="49" xfId="7" applyFont="1" applyBorder="1" applyAlignment="1">
      <alignment horizontal="center" vertical="center"/>
    </xf>
    <xf numFmtId="0" fontId="13" fillId="0" borderId="0" xfId="7" applyFont="1" applyAlignment="1">
      <alignment horizontal="left" vertical="center" wrapText="1"/>
    </xf>
    <xf numFmtId="0" fontId="13" fillId="0" borderId="42" xfId="7" applyFont="1" applyBorder="1" applyAlignment="1">
      <alignment horizontal="left" vertical="center" wrapText="1"/>
    </xf>
    <xf numFmtId="0" fontId="13" fillId="0" borderId="44" xfId="7" applyFont="1" applyBorder="1" applyAlignment="1">
      <alignment horizontal="left" vertical="center"/>
    </xf>
    <xf numFmtId="0" fontId="13" fillId="0" borderId="45" xfId="7" applyFont="1" applyBorder="1" applyAlignment="1">
      <alignment horizontal="left" vertical="center"/>
    </xf>
    <xf numFmtId="49" fontId="13" fillId="0" borderId="38" xfId="7" applyNumberFormat="1" applyFont="1" applyBorder="1" applyAlignment="1">
      <alignment horizontal="left" vertical="center" indent="1"/>
    </xf>
    <xf numFmtId="49" fontId="13" fillId="0" borderId="39" xfId="7" applyNumberFormat="1" applyFont="1" applyBorder="1" applyAlignment="1">
      <alignment horizontal="left" vertical="center" indent="1"/>
    </xf>
    <xf numFmtId="49" fontId="2" fillId="0" borderId="43" xfId="7" applyNumberFormat="1" applyFont="1" applyBorder="1" applyAlignment="1">
      <alignment horizontal="center" vertical="center" wrapText="1"/>
    </xf>
    <xf numFmtId="49" fontId="2" fillId="0" borderId="44" xfId="7" applyNumberFormat="1" applyFont="1" applyBorder="1" applyAlignment="1">
      <alignment horizontal="center" vertical="center" wrapText="1"/>
    </xf>
    <xf numFmtId="49" fontId="2" fillId="0" borderId="45" xfId="7" applyNumberFormat="1" applyFont="1" applyBorder="1" applyAlignment="1">
      <alignment horizontal="center" vertical="center" wrapText="1"/>
    </xf>
    <xf numFmtId="49" fontId="13" fillId="0" borderId="49" xfId="7" applyNumberFormat="1" applyFont="1" applyBorder="1" applyAlignment="1">
      <alignment horizontal="center" vertical="center"/>
    </xf>
    <xf numFmtId="0" fontId="13" fillId="0" borderId="44" xfId="7" applyFont="1" applyBorder="1" applyAlignment="1">
      <alignment horizontal="left" vertical="center" wrapText="1"/>
    </xf>
    <xf numFmtId="0" fontId="13" fillId="0" borderId="45" xfId="7" applyFont="1" applyBorder="1" applyAlignment="1">
      <alignment horizontal="left" vertical="center" wrapText="1"/>
    </xf>
    <xf numFmtId="0" fontId="55" fillId="0" borderId="50" xfId="7" applyFont="1" applyBorder="1" applyAlignment="1">
      <alignment horizontal="center" vertical="center"/>
    </xf>
    <xf numFmtId="0" fontId="55" fillId="0" borderId="48" xfId="7" applyFont="1" applyBorder="1" applyAlignment="1">
      <alignment horizontal="center" vertical="center"/>
    </xf>
    <xf numFmtId="0" fontId="55" fillId="0" borderId="51" xfId="7" applyFont="1" applyBorder="1" applyAlignment="1">
      <alignment horizontal="center" vertical="center"/>
    </xf>
    <xf numFmtId="0" fontId="10" fillId="0" borderId="50" xfId="7" applyFont="1" applyBorder="1" applyAlignment="1">
      <alignment horizontal="center" vertical="center"/>
    </xf>
    <xf numFmtId="0" fontId="10" fillId="0" borderId="48" xfId="7" applyFont="1" applyBorder="1" applyAlignment="1">
      <alignment horizontal="center" vertical="center"/>
    </xf>
    <xf numFmtId="0" fontId="10" fillId="0" borderId="51" xfId="7" applyFont="1" applyBorder="1" applyAlignment="1">
      <alignment horizontal="center" vertical="center"/>
    </xf>
    <xf numFmtId="49" fontId="2" fillId="0" borderId="43" xfId="7" applyNumberFormat="1" applyFont="1" applyBorder="1" applyAlignment="1">
      <alignment horizontal="left" vertical="center" wrapText="1"/>
    </xf>
    <xf numFmtId="49" fontId="2" fillId="0" borderId="44" xfId="7" applyNumberFormat="1" applyFont="1" applyBorder="1" applyAlignment="1">
      <alignment horizontal="left" vertical="center" wrapText="1"/>
    </xf>
    <xf numFmtId="49" fontId="2" fillId="0" borderId="45" xfId="7" applyNumberFormat="1" applyFont="1" applyBorder="1" applyAlignment="1">
      <alignment horizontal="left" vertical="center" wrapText="1"/>
    </xf>
    <xf numFmtId="49" fontId="19" fillId="0" borderId="49" xfId="7" applyNumberFormat="1" applyFont="1" applyBorder="1" applyAlignment="1">
      <alignment horizontal="center" vertical="center"/>
    </xf>
    <xf numFmtId="0" fontId="19" fillId="0" borderId="49" xfId="7" applyFont="1" applyBorder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2" fillId="13" borderId="49" xfId="0" applyFont="1" applyFill="1" applyBorder="1" applyAlignment="1">
      <alignment horizontal="center" vertical="center"/>
    </xf>
    <xf numFmtId="4" fontId="32" fillId="13" borderId="49" xfId="0" applyNumberFormat="1" applyFont="1" applyFill="1" applyBorder="1" applyAlignment="1">
      <alignment horizontal="right" vertical="center"/>
    </xf>
    <xf numFmtId="4" fontId="32" fillId="13" borderId="49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13" borderId="49" xfId="0" applyFont="1" applyFill="1" applyBorder="1" applyAlignment="1">
      <alignment vertical="center"/>
    </xf>
    <xf numFmtId="0" fontId="30" fillId="13" borderId="49" xfId="0" applyFont="1" applyFill="1" applyBorder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4" fillId="0" borderId="0" xfId="0" applyFont="1"/>
    <xf numFmtId="2" fontId="14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wrapText="1"/>
    </xf>
    <xf numFmtId="2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15" fillId="13" borderId="6" xfId="0" applyFont="1" applyFill="1" applyBorder="1"/>
    <xf numFmtId="0" fontId="15" fillId="13" borderId="7" xfId="0" applyFont="1" applyFill="1" applyBorder="1"/>
    <xf numFmtId="0" fontId="15" fillId="13" borderId="54" xfId="0" applyFont="1" applyFill="1" applyBorder="1"/>
    <xf numFmtId="0" fontId="15" fillId="0" borderId="0" xfId="0" applyFont="1"/>
    <xf numFmtId="4" fontId="14" fillId="0" borderId="0" xfId="0" applyNumberFormat="1" applyFont="1"/>
    <xf numFmtId="0" fontId="15" fillId="0" borderId="0" xfId="0" applyFont="1" applyAlignment="1">
      <alignment wrapText="1"/>
    </xf>
    <xf numFmtId="0" fontId="39" fillId="13" borderId="6" xfId="0" applyFont="1" applyFill="1" applyBorder="1" applyAlignment="1">
      <alignment horizontal="center" vertical="center"/>
    </xf>
    <xf numFmtId="0" fontId="39" fillId="13" borderId="7" xfId="0" applyFont="1" applyFill="1" applyBorder="1" applyAlignment="1">
      <alignment horizontal="center" vertical="center"/>
    </xf>
    <xf numFmtId="0" fontId="39" fillId="13" borderId="54" xfId="0" applyFont="1" applyFill="1" applyBorder="1" applyAlignment="1">
      <alignment horizontal="center" vertical="center"/>
    </xf>
    <xf numFmtId="0" fontId="14" fillId="12" borderId="0" xfId="0" applyFont="1" applyFill="1"/>
    <xf numFmtId="0" fontId="32" fillId="13" borderId="49" xfId="0" applyFont="1" applyFill="1" applyBorder="1" applyAlignment="1">
      <alignment horizontal="center" vertical="center" wrapText="1"/>
    </xf>
    <xf numFmtId="0" fontId="32" fillId="13" borderId="8" xfId="0" applyFont="1" applyFill="1" applyBorder="1" applyAlignment="1">
      <alignment horizontal="center" vertical="center"/>
    </xf>
    <xf numFmtId="0" fontId="32" fillId="13" borderId="9" xfId="0" applyFont="1" applyFill="1" applyBorder="1" applyAlignment="1">
      <alignment horizontal="center" vertical="center"/>
    </xf>
    <xf numFmtId="0" fontId="32" fillId="13" borderId="34" xfId="0" applyFont="1" applyFill="1" applyBorder="1" applyAlignment="1">
      <alignment horizontal="center" vertical="center"/>
    </xf>
    <xf numFmtId="0" fontId="32" fillId="13" borderId="4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center" vertical="center"/>
    </xf>
    <xf numFmtId="0" fontId="32" fillId="13" borderId="36" xfId="0" applyFont="1" applyFill="1" applyBorder="1" applyAlignment="1">
      <alignment horizontal="center" vertical="center"/>
    </xf>
    <xf numFmtId="4" fontId="32" fillId="13" borderId="1" xfId="0" applyNumberFormat="1" applyFont="1" applyFill="1" applyBorder="1" applyAlignment="1">
      <alignment horizontal="right" vertical="center"/>
    </xf>
    <xf numFmtId="4" fontId="32" fillId="13" borderId="53" xfId="0" applyNumberFormat="1" applyFont="1" applyFill="1" applyBorder="1" applyAlignment="1">
      <alignment horizontal="right" vertical="center"/>
    </xf>
    <xf numFmtId="0" fontId="30" fillId="0" borderId="0" xfId="0" applyFont="1"/>
    <xf numFmtId="0" fontId="32" fillId="0" borderId="0" xfId="0" applyFont="1"/>
    <xf numFmtId="4" fontId="30" fillId="0" borderId="0" xfId="0" applyNumberFormat="1" applyFont="1"/>
    <xf numFmtId="4" fontId="14" fillId="12" borderId="0" xfId="0" applyNumberFormat="1" applyFont="1" applyFill="1" applyAlignment="1">
      <alignment horizontal="center"/>
    </xf>
    <xf numFmtId="0" fontId="30" fillId="13" borderId="50" xfId="0" applyFont="1" applyFill="1" applyBorder="1" applyAlignment="1">
      <alignment horizontal="center" vertical="center"/>
    </xf>
    <xf numFmtId="0" fontId="30" fillId="13" borderId="48" xfId="0" applyFont="1" applyFill="1" applyBorder="1" applyAlignment="1">
      <alignment horizontal="center" vertical="center"/>
    </xf>
    <xf numFmtId="0" fontId="30" fillId="13" borderId="51" xfId="0" applyFont="1" applyFill="1" applyBorder="1" applyAlignment="1">
      <alignment horizontal="center" vertical="center"/>
    </xf>
    <xf numFmtId="0" fontId="32" fillId="13" borderId="47" xfId="0" applyFont="1" applyFill="1" applyBorder="1" applyAlignment="1">
      <alignment vertical="center"/>
    </xf>
    <xf numFmtId="4" fontId="3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49" fontId="2" fillId="10" borderId="0" xfId="0" applyNumberFormat="1" applyFont="1" applyFill="1" applyAlignment="1">
      <alignment horizontal="center" vertical="center"/>
    </xf>
    <xf numFmtId="0" fontId="37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5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2" fillId="13" borderId="50" xfId="0" applyFont="1" applyFill="1" applyBorder="1" applyAlignment="1" applyProtection="1">
      <alignment vertical="center" wrapText="1"/>
      <protection locked="0"/>
    </xf>
    <xf numFmtId="0" fontId="32" fillId="13" borderId="48" xfId="0" applyFont="1" applyFill="1" applyBorder="1" applyAlignment="1" applyProtection="1">
      <alignment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2" fillId="13" borderId="50" xfId="0" applyFont="1" applyFill="1" applyBorder="1" applyAlignment="1" applyProtection="1">
      <alignment horizontal="center" vertical="center" wrapText="1"/>
      <protection locked="0"/>
    </xf>
    <xf numFmtId="0" fontId="32" fillId="13" borderId="51" xfId="0" applyFont="1" applyFill="1" applyBorder="1" applyAlignment="1" applyProtection="1">
      <alignment horizontal="center" vertical="center" wrapText="1"/>
      <protection locked="0"/>
    </xf>
    <xf numFmtId="0" fontId="32" fillId="13" borderId="46" xfId="0" applyFont="1" applyFill="1" applyBorder="1" applyAlignment="1" applyProtection="1">
      <alignment horizontal="center" vertical="center" wrapText="1"/>
      <protection locked="0"/>
    </xf>
    <xf numFmtId="0" fontId="32" fillId="13" borderId="47" xfId="0" applyFont="1" applyFill="1" applyBorder="1" applyAlignment="1" applyProtection="1">
      <alignment horizontal="center" vertical="center" wrapText="1"/>
      <protection locked="0"/>
    </xf>
    <xf numFmtId="0" fontId="32" fillId="13" borderId="49" xfId="0" applyFont="1" applyFill="1" applyBorder="1" applyAlignment="1" applyProtection="1">
      <alignment horizontal="center" vertical="center" wrapText="1"/>
      <protection locked="0"/>
    </xf>
    <xf numFmtId="4" fontId="32" fillId="13" borderId="46" xfId="0" applyNumberFormat="1" applyFont="1" applyFill="1" applyBorder="1" applyAlignment="1" applyProtection="1">
      <alignment horizontal="center" vertical="center" wrapText="1"/>
      <protection locked="0"/>
    </xf>
    <xf numFmtId="4" fontId="32" fillId="13" borderId="47" xfId="0" applyNumberFormat="1" applyFont="1" applyFill="1" applyBorder="1" applyAlignment="1" applyProtection="1">
      <alignment horizontal="center" vertical="center" wrapText="1"/>
      <protection locked="0"/>
    </xf>
    <xf numFmtId="4" fontId="32" fillId="13" borderId="48" xfId="0" applyNumberFormat="1" applyFont="1" applyFill="1" applyBorder="1" applyAlignment="1" applyProtection="1">
      <alignment horizontal="center" vertical="center" wrapText="1"/>
      <protection locked="0"/>
    </xf>
    <xf numFmtId="4" fontId="32" fillId="13" borderId="51" xfId="0" applyNumberFormat="1" applyFont="1" applyFill="1" applyBorder="1" applyAlignment="1" applyProtection="1">
      <alignment horizontal="center" vertical="center" wrapText="1"/>
      <protection locked="0"/>
    </xf>
    <xf numFmtId="0" fontId="50" fillId="14" borderId="6" xfId="0" applyFont="1" applyFill="1" applyBorder="1" applyAlignment="1">
      <alignment horizontal="center" vertical="center"/>
    </xf>
    <xf numFmtId="0" fontId="50" fillId="14" borderId="7" xfId="0" applyFont="1" applyFill="1" applyBorder="1" applyAlignment="1">
      <alignment horizontal="center" vertical="center"/>
    </xf>
    <xf numFmtId="0" fontId="20" fillId="14" borderId="6" xfId="0" applyFont="1" applyFill="1" applyBorder="1" applyAlignment="1">
      <alignment horizontal="center" vertical="center"/>
    </xf>
    <xf numFmtId="0" fontId="20" fillId="14" borderId="7" xfId="0" applyFont="1" applyFill="1" applyBorder="1" applyAlignment="1">
      <alignment horizontal="center" vertical="center"/>
    </xf>
    <xf numFmtId="0" fontId="26" fillId="13" borderId="85" xfId="6" applyFont="1" applyFill="1" applyBorder="1" applyAlignment="1" applyProtection="1">
      <alignment horizontal="center" vertical="center" wrapText="1"/>
      <protection hidden="1"/>
    </xf>
    <xf numFmtId="0" fontId="26" fillId="13" borderId="53" xfId="6" applyFont="1" applyFill="1" applyBorder="1" applyAlignment="1" applyProtection="1">
      <alignment horizontal="center" vertical="center" wrapText="1"/>
      <protection hidden="1"/>
    </xf>
    <xf numFmtId="0" fontId="26" fillId="13" borderId="1" xfId="6" applyFont="1" applyFill="1" applyBorder="1" applyAlignment="1" applyProtection="1">
      <alignment horizontal="center" vertical="center"/>
      <protection hidden="1"/>
    </xf>
    <xf numFmtId="0" fontId="26" fillId="13" borderId="85" xfId="6" applyFont="1" applyFill="1" applyBorder="1" applyAlignment="1" applyProtection="1">
      <alignment horizontal="center" vertical="center"/>
      <protection hidden="1"/>
    </xf>
    <xf numFmtId="0" fontId="26" fillId="13" borderId="53" xfId="6" applyFont="1" applyFill="1" applyBorder="1" applyAlignment="1" applyProtection="1">
      <alignment horizontal="center" vertical="center"/>
      <protection hidden="1"/>
    </xf>
    <xf numFmtId="0" fontId="26" fillId="13" borderId="64" xfId="6" applyFont="1" applyFill="1" applyBorder="1" applyAlignment="1" applyProtection="1">
      <alignment horizontal="center" vertical="center"/>
      <protection hidden="1"/>
    </xf>
    <xf numFmtId="0" fontId="26" fillId="13" borderId="84" xfId="6" applyFont="1" applyFill="1" applyBorder="1" applyAlignment="1" applyProtection="1">
      <alignment horizontal="center" vertical="center"/>
      <protection hidden="1"/>
    </xf>
    <xf numFmtId="0" fontId="26" fillId="13" borderId="68" xfId="6" applyFont="1" applyFill="1" applyBorder="1" applyAlignment="1" applyProtection="1">
      <alignment horizontal="center" vertical="center"/>
      <protection hidden="1"/>
    </xf>
    <xf numFmtId="0" fontId="26" fillId="13" borderId="2" xfId="6" applyFont="1" applyFill="1" applyBorder="1" applyAlignment="1" applyProtection="1">
      <alignment horizontal="center" vertical="center" wrapText="1"/>
      <protection hidden="1"/>
    </xf>
    <xf numFmtId="0" fontId="26" fillId="13" borderId="4" xfId="6" applyFont="1" applyFill="1" applyBorder="1" applyAlignment="1" applyProtection="1">
      <alignment horizontal="center" vertical="center" wrapText="1"/>
      <protection hidden="1"/>
    </xf>
    <xf numFmtId="0" fontId="26" fillId="13" borderId="3" xfId="6" applyFont="1" applyFill="1" applyBorder="1" applyAlignment="1" applyProtection="1">
      <alignment horizontal="center" vertical="center" wrapText="1"/>
      <protection hidden="1"/>
    </xf>
    <xf numFmtId="0" fontId="26" fillId="13" borderId="36" xfId="6" applyFont="1" applyFill="1" applyBorder="1" applyAlignment="1" applyProtection="1">
      <alignment horizontal="center" vertical="center" wrapText="1"/>
      <protection hidden="1"/>
    </xf>
    <xf numFmtId="0" fontId="33" fillId="0" borderId="4" xfId="6" applyFont="1" applyBorder="1" applyAlignment="1" applyProtection="1">
      <alignment horizontal="left" vertical="center"/>
      <protection locked="0"/>
    </xf>
    <xf numFmtId="0" fontId="33" fillId="0" borderId="5" xfId="6" applyFont="1" applyBorder="1" applyAlignment="1" applyProtection="1">
      <alignment horizontal="left" vertical="center"/>
      <protection locked="0"/>
    </xf>
    <xf numFmtId="0" fontId="33" fillId="0" borderId="36" xfId="6" applyFont="1" applyBorder="1" applyAlignment="1" applyProtection="1">
      <alignment horizontal="left" vertical="center"/>
      <protection locked="0"/>
    </xf>
    <xf numFmtId="0" fontId="33" fillId="0" borderId="58" xfId="6" applyFont="1" applyBorder="1" applyAlignment="1" applyProtection="1">
      <alignment horizontal="left" vertical="center"/>
      <protection locked="0"/>
    </xf>
    <xf numFmtId="169" fontId="33" fillId="0" borderId="5" xfId="2" applyNumberFormat="1" applyFont="1" applyBorder="1" applyAlignment="1" applyProtection="1">
      <alignment horizontal="left" vertical="center"/>
      <protection locked="0"/>
    </xf>
    <xf numFmtId="169" fontId="33" fillId="0" borderId="58" xfId="2" applyNumberFormat="1" applyFont="1" applyBorder="1" applyAlignment="1" applyProtection="1">
      <alignment horizontal="left" vertical="center"/>
      <protection locked="0"/>
    </xf>
    <xf numFmtId="0" fontId="33" fillId="0" borderId="8" xfId="6" applyFont="1" applyBorder="1" applyAlignment="1">
      <alignment horizontal="left" vertical="center"/>
    </xf>
    <xf numFmtId="0" fontId="33" fillId="0" borderId="9" xfId="6" applyFont="1" applyBorder="1" applyAlignment="1">
      <alignment horizontal="left" vertical="center"/>
    </xf>
    <xf numFmtId="0" fontId="33" fillId="0" borderId="4" xfId="6" applyFont="1" applyBorder="1" applyAlignment="1">
      <alignment horizontal="left" vertical="center"/>
    </xf>
    <xf numFmtId="0" fontId="33" fillId="0" borderId="5" xfId="6" applyFont="1" applyBorder="1" applyAlignment="1">
      <alignment horizontal="left" vertical="center"/>
    </xf>
    <xf numFmtId="0" fontId="33" fillId="0" borderId="60" xfId="6" applyFont="1" applyBorder="1" applyAlignment="1">
      <alignment horizontal="left" vertical="center"/>
    </xf>
    <xf numFmtId="0" fontId="33" fillId="0" borderId="58" xfId="6" applyFont="1" applyBorder="1" applyAlignment="1">
      <alignment horizontal="left" vertical="center"/>
    </xf>
    <xf numFmtId="0" fontId="33" fillId="0" borderId="4" xfId="6" applyFont="1" applyBorder="1" applyAlignment="1" applyProtection="1">
      <alignment horizontal="left" vertical="center" wrapText="1"/>
      <protection locked="0"/>
    </xf>
    <xf numFmtId="0" fontId="33" fillId="0" borderId="5" xfId="6" applyFont="1" applyBorder="1" applyAlignment="1" applyProtection="1">
      <alignment horizontal="left" vertical="center" wrapText="1"/>
      <protection locked="0"/>
    </xf>
    <xf numFmtId="0" fontId="33" fillId="0" borderId="36" xfId="6" applyFont="1" applyBorder="1" applyAlignment="1" applyProtection="1">
      <alignment horizontal="left" vertical="center" wrapText="1"/>
      <protection locked="0"/>
    </xf>
    <xf numFmtId="4" fontId="16" fillId="0" borderId="4" xfId="6" applyNumberFormat="1" applyFont="1" applyBorder="1" applyAlignment="1" applyProtection="1">
      <alignment horizontal="left" vertical="center" wrapText="1"/>
      <protection locked="0" hidden="1"/>
    </xf>
    <xf numFmtId="0" fontId="16" fillId="0" borderId="5" xfId="6" applyFont="1" applyBorder="1" applyAlignment="1" applyProtection="1">
      <alignment horizontal="left" vertical="center" wrapText="1"/>
      <protection locked="0" hidden="1"/>
    </xf>
    <xf numFmtId="0" fontId="16" fillId="0" borderId="36" xfId="6" applyFont="1" applyBorder="1" applyAlignment="1" applyProtection="1">
      <alignment horizontal="left" vertical="center" wrapText="1"/>
      <protection locked="0" hidden="1"/>
    </xf>
    <xf numFmtId="0" fontId="26" fillId="0" borderId="82" xfId="6" applyFont="1" applyBorder="1" applyAlignment="1">
      <alignment horizontal="left" vertical="center"/>
    </xf>
    <xf numFmtId="0" fontId="26" fillId="0" borderId="37" xfId="6" applyFont="1" applyBorder="1" applyAlignment="1">
      <alignment horizontal="left" vertical="center"/>
    </xf>
    <xf numFmtId="0" fontId="26" fillId="0" borderId="83" xfId="6" applyFont="1" applyBorder="1" applyAlignment="1">
      <alignment horizontal="left" vertical="center"/>
    </xf>
    <xf numFmtId="0" fontId="26" fillId="0" borderId="57" xfId="6" applyFont="1" applyBorder="1" applyAlignment="1" applyProtection="1">
      <alignment horizontal="left" vertical="center"/>
      <protection hidden="1"/>
    </xf>
    <xf numFmtId="0" fontId="26" fillId="0" borderId="5" xfId="6" applyFont="1" applyBorder="1" applyAlignment="1" applyProtection="1">
      <alignment horizontal="left" vertical="center"/>
      <protection hidden="1"/>
    </xf>
    <xf numFmtId="0" fontId="26" fillId="0" borderId="36" xfId="6" applyFont="1" applyBorder="1" applyAlignment="1" applyProtection="1">
      <alignment horizontal="left" vertical="center"/>
      <protection hidden="1"/>
    </xf>
    <xf numFmtId="0" fontId="26" fillId="13" borderId="63" xfId="6" applyFont="1" applyFill="1" applyBorder="1" applyAlignment="1">
      <alignment horizontal="center" vertical="center" wrapText="1"/>
    </xf>
    <xf numFmtId="0" fontId="26" fillId="13" borderId="86" xfId="6" applyFont="1" applyFill="1" applyBorder="1" applyAlignment="1">
      <alignment horizontal="center" vertical="center" wrapText="1"/>
    </xf>
    <xf numFmtId="0" fontId="26" fillId="13" borderId="67" xfId="6" applyFont="1" applyFill="1" applyBorder="1" applyAlignment="1">
      <alignment horizontal="center" vertical="center" wrapText="1"/>
    </xf>
    <xf numFmtId="0" fontId="33" fillId="13" borderId="8" xfId="6" applyFont="1" applyFill="1" applyBorder="1" applyAlignment="1">
      <alignment horizontal="center" vertical="center" wrapText="1"/>
    </xf>
    <xf numFmtId="0" fontId="33" fillId="13" borderId="9" xfId="6" applyFont="1" applyFill="1" applyBorder="1" applyAlignment="1">
      <alignment horizontal="center" vertical="center" wrapText="1"/>
    </xf>
    <xf numFmtId="0" fontId="33" fillId="13" borderId="2" xfId="6" applyFont="1" applyFill="1" applyBorder="1" applyAlignment="1">
      <alignment horizontal="center" vertical="center" wrapText="1"/>
    </xf>
    <xf numFmtId="0" fontId="33" fillId="13" borderId="0" xfId="6" applyFont="1" applyFill="1" applyAlignment="1">
      <alignment horizontal="center" vertical="center" wrapText="1"/>
    </xf>
    <xf numFmtId="0" fontId="33" fillId="13" borderId="4" xfId="6" applyFont="1" applyFill="1" applyBorder="1" applyAlignment="1">
      <alignment horizontal="center" vertical="center" wrapText="1"/>
    </xf>
    <xf numFmtId="0" fontId="33" fillId="13" borderId="5" xfId="6" applyFont="1" applyFill="1" applyBorder="1" applyAlignment="1">
      <alignment horizontal="center" vertical="center" wrapText="1"/>
    </xf>
    <xf numFmtId="0" fontId="33" fillId="13" borderId="1" xfId="6" applyFont="1" applyFill="1" applyBorder="1" applyAlignment="1">
      <alignment horizontal="center" vertical="center" wrapText="1"/>
    </xf>
    <xf numFmtId="0" fontId="33" fillId="13" borderId="85" xfId="6" applyFont="1" applyFill="1" applyBorder="1" applyAlignment="1">
      <alignment horizontal="center" vertical="center" wrapText="1"/>
    </xf>
    <xf numFmtId="0" fontId="33" fillId="13" borderId="53" xfId="6" applyFont="1" applyFill="1" applyBorder="1" applyAlignment="1">
      <alignment horizontal="center" vertical="center" wrapText="1"/>
    </xf>
    <xf numFmtId="0" fontId="26" fillId="13" borderId="34" xfId="6" applyFont="1" applyFill="1" applyBorder="1" applyAlignment="1">
      <alignment horizontal="center" vertical="center" wrapText="1"/>
    </xf>
    <xf numFmtId="0" fontId="26" fillId="13" borderId="3" xfId="6" applyFont="1" applyFill="1" applyBorder="1" applyAlignment="1">
      <alignment horizontal="center" vertical="center" wrapText="1"/>
    </xf>
    <xf numFmtId="0" fontId="26" fillId="13" borderId="36" xfId="6" applyFont="1" applyFill="1" applyBorder="1" applyAlignment="1">
      <alignment horizontal="center" vertical="center" wrapText="1"/>
    </xf>
    <xf numFmtId="0" fontId="33" fillId="0" borderId="57" xfId="6" applyFont="1" applyBorder="1" applyAlignment="1" applyProtection="1">
      <alignment horizontal="left" vertical="center"/>
      <protection locked="0"/>
    </xf>
    <xf numFmtId="0" fontId="26" fillId="0" borderId="57" xfId="6" applyFont="1" applyBorder="1" applyAlignment="1" applyProtection="1">
      <alignment horizontal="left" vertical="center"/>
      <protection locked="0"/>
    </xf>
    <xf numFmtId="0" fontId="26" fillId="0" borderId="5" xfId="6" applyFont="1" applyBorder="1" applyAlignment="1" applyProtection="1">
      <alignment horizontal="left" vertical="center"/>
      <protection locked="0"/>
    </xf>
    <xf numFmtId="0" fontId="26" fillId="0" borderId="36" xfId="6" applyFont="1" applyBorder="1" applyAlignment="1" applyProtection="1">
      <alignment horizontal="left" vertical="center"/>
      <protection locked="0"/>
    </xf>
    <xf numFmtId="0" fontId="33" fillId="0" borderId="57" xfId="6" applyFont="1" applyBorder="1" applyAlignment="1" applyProtection="1">
      <alignment horizontal="left" vertical="center" wrapText="1"/>
      <protection locked="0"/>
    </xf>
    <xf numFmtId="39" fontId="3" fillId="15" borderId="52" xfId="12" applyNumberFormat="1" applyFont="1" applyFill="1" applyBorder="1" applyAlignment="1" applyProtection="1">
      <alignment vertical="top" wrapText="1"/>
      <protection locked="0"/>
    </xf>
    <xf numFmtId="0" fontId="1" fillId="15" borderId="52" xfId="4" applyFill="1" applyBorder="1" applyAlignment="1" applyProtection="1">
      <alignment vertical="top" wrapText="1"/>
      <protection locked="0"/>
    </xf>
    <xf numFmtId="39" fontId="3" fillId="15" borderId="4" xfId="12" applyNumberFormat="1" applyFont="1" applyFill="1" applyBorder="1" applyAlignment="1" applyProtection="1">
      <alignment vertical="top" wrapText="1"/>
      <protection locked="0"/>
    </xf>
    <xf numFmtId="0" fontId="1" fillId="15" borderId="5" xfId="4" applyFill="1" applyBorder="1" applyAlignment="1" applyProtection="1">
      <alignment vertical="top" wrapText="1"/>
      <protection locked="0"/>
    </xf>
    <xf numFmtId="0" fontId="1" fillId="15" borderId="36" xfId="4" applyFill="1" applyBorder="1" applyAlignment="1" applyProtection="1">
      <alignment vertical="top" wrapText="1"/>
      <protection locked="0"/>
    </xf>
    <xf numFmtId="39" fontId="7" fillId="15" borderId="4" xfId="12" applyNumberFormat="1" applyFont="1" applyFill="1" applyBorder="1" applyAlignment="1">
      <alignment vertical="top" wrapText="1"/>
    </xf>
    <xf numFmtId="39" fontId="7" fillId="15" borderId="5" xfId="12" applyNumberFormat="1" applyFont="1" applyFill="1" applyBorder="1" applyAlignment="1">
      <alignment vertical="top" wrapText="1"/>
    </xf>
    <xf numFmtId="0" fontId="1" fillId="15" borderId="36" xfId="4" applyFill="1" applyBorder="1" applyAlignment="1">
      <alignment vertical="top" wrapText="1"/>
    </xf>
    <xf numFmtId="0" fontId="3" fillId="0" borderId="0" xfId="8" applyAlignment="1" applyProtection="1">
      <alignment vertical="top" wrapText="1"/>
      <protection locked="0"/>
    </xf>
    <xf numFmtId="0" fontId="5" fillId="10" borderId="6" xfId="4" applyFont="1" applyFill="1" applyBorder="1" applyAlignment="1">
      <alignment horizontal="center" vertical="top"/>
    </xf>
    <xf numFmtId="0" fontId="5" fillId="10" borderId="7" xfId="4" applyFont="1" applyFill="1" applyBorder="1" applyAlignment="1">
      <alignment horizontal="center" vertical="top"/>
    </xf>
    <xf numFmtId="0" fontId="5" fillId="10" borderId="54" xfId="4" applyFont="1" applyFill="1" applyBorder="1" applyAlignment="1">
      <alignment horizontal="center" vertical="top"/>
    </xf>
    <xf numFmtId="39" fontId="5" fillId="0" borderId="52" xfId="12" applyNumberFormat="1" applyFont="1" applyBorder="1" applyAlignment="1">
      <alignment vertical="top" wrapText="1"/>
    </xf>
    <xf numFmtId="0" fontId="2" fillId="0" borderId="52" xfId="4" applyFont="1" applyBorder="1" applyAlignment="1">
      <alignment vertical="top" wrapText="1"/>
    </xf>
    <xf numFmtId="39" fontId="7" fillId="0" borderId="4" xfId="12" applyNumberFormat="1" applyFont="1" applyBorder="1" applyAlignment="1">
      <alignment vertical="top" wrapText="1"/>
    </xf>
    <xf numFmtId="39" fontId="7" fillId="0" borderId="5" xfId="12" applyNumberFormat="1" applyFont="1" applyBorder="1" applyAlignment="1">
      <alignment vertical="top" wrapText="1"/>
    </xf>
    <xf numFmtId="0" fontId="1" fillId="0" borderId="36" xfId="4" applyBorder="1" applyAlignment="1">
      <alignment vertical="top" wrapText="1"/>
    </xf>
    <xf numFmtId="39" fontId="3" fillId="0" borderId="7" xfId="12" applyNumberFormat="1" applyFont="1" applyBorder="1" applyAlignment="1" applyProtection="1">
      <alignment vertical="top" wrapText="1"/>
      <protection locked="0"/>
    </xf>
    <xf numFmtId="0" fontId="1" fillId="0" borderId="7" xfId="4" applyBorder="1" applyAlignment="1">
      <alignment vertical="top" wrapText="1"/>
    </xf>
    <xf numFmtId="0" fontId="1" fillId="0" borderId="54" xfId="4" applyBorder="1" applyAlignment="1">
      <alignment vertical="top" wrapText="1"/>
    </xf>
    <xf numFmtId="0" fontId="3" fillId="0" borderId="5" xfId="8" applyBorder="1" applyAlignment="1" applyProtection="1">
      <alignment horizontal="center" vertical="top" wrapText="1"/>
      <protection locked="0"/>
    </xf>
    <xf numFmtId="0" fontId="3" fillId="0" borderId="5" xfId="4" applyFont="1" applyBorder="1" applyAlignment="1" applyProtection="1">
      <alignment horizontal="center" vertical="top" wrapText="1"/>
      <protection locked="0"/>
    </xf>
    <xf numFmtId="0" fontId="5" fillId="15" borderId="52" xfId="4" applyFont="1" applyFill="1" applyBorder="1" applyAlignment="1" applyProtection="1">
      <alignment vertical="top" wrapText="1"/>
      <protection locked="0"/>
    </xf>
    <xf numFmtId="0" fontId="5" fillId="0" borderId="52" xfId="4" applyFont="1" applyBorder="1" applyAlignment="1" applyProtection="1">
      <alignment vertical="top" wrapText="1"/>
      <protection locked="0"/>
    </xf>
    <xf numFmtId="0" fontId="1" fillId="0" borderId="52" xfId="4" applyBorder="1" applyAlignment="1" applyProtection="1">
      <alignment vertical="top" wrapText="1"/>
      <protection locked="0"/>
    </xf>
    <xf numFmtId="4" fontId="5" fillId="0" borderId="52" xfId="4" applyNumberFormat="1" applyFont="1" applyBorder="1" applyAlignment="1" applyProtection="1">
      <alignment vertical="top" wrapText="1"/>
      <protection locked="0"/>
    </xf>
    <xf numFmtId="39" fontId="3" fillId="0" borderId="52" xfId="12" applyNumberFormat="1" applyFont="1" applyBorder="1" applyAlignment="1" applyProtection="1">
      <alignment vertical="top" wrapText="1"/>
      <protection locked="0"/>
    </xf>
    <xf numFmtId="39" fontId="3" fillId="0" borderId="4" xfId="12" applyNumberFormat="1" applyFont="1" applyBorder="1" applyAlignment="1" applyProtection="1">
      <alignment vertical="top" wrapText="1"/>
      <protection locked="0"/>
    </xf>
    <xf numFmtId="0" fontId="1" fillId="0" borderId="5" xfId="4" applyBorder="1" applyAlignment="1" applyProtection="1">
      <alignment vertical="top" wrapText="1"/>
      <protection locked="0"/>
    </xf>
    <xf numFmtId="0" fontId="1" fillId="0" borderId="36" xfId="4" applyBorder="1" applyAlignment="1" applyProtection="1">
      <alignment vertical="top" wrapText="1"/>
      <protection locked="0"/>
    </xf>
    <xf numFmtId="39" fontId="23" fillId="0" borderId="4" xfId="12" applyNumberFormat="1" applyFont="1" applyBorder="1" applyAlignment="1" applyProtection="1">
      <alignment vertical="top" wrapText="1"/>
      <protection locked="0"/>
    </xf>
    <xf numFmtId="0" fontId="38" fillId="0" borderId="5" xfId="4" applyFont="1" applyBorder="1" applyAlignment="1" applyProtection="1">
      <alignment vertical="top" wrapText="1"/>
      <protection locked="0"/>
    </xf>
    <xf numFmtId="0" fontId="38" fillId="0" borderId="36" xfId="4" applyFont="1" applyBorder="1" applyAlignment="1" applyProtection="1">
      <alignment vertical="top" wrapText="1"/>
      <protection locked="0"/>
    </xf>
    <xf numFmtId="0" fontId="5" fillId="0" borderId="52" xfId="4" applyFont="1" applyBorder="1" applyAlignment="1" applyProtection="1">
      <alignment horizontal="center" vertical="top" wrapText="1"/>
      <protection locked="0"/>
    </xf>
    <xf numFmtId="0" fontId="1" fillId="0" borderId="52" xfId="4" applyBorder="1" applyAlignment="1" applyProtection="1">
      <alignment horizontal="center" vertical="top" wrapText="1"/>
      <protection locked="0"/>
    </xf>
    <xf numFmtId="49" fontId="5" fillId="0" borderId="53" xfId="4" applyNumberFormat="1" applyFont="1" applyBorder="1" applyAlignment="1" applyProtection="1">
      <alignment horizontal="center" vertical="top" wrapText="1"/>
      <protection locked="0"/>
    </xf>
    <xf numFmtId="0" fontId="1" fillId="0" borderId="53" xfId="4" applyBorder="1" applyAlignment="1" applyProtection="1">
      <alignment horizontal="center" vertical="top" wrapText="1"/>
      <protection locked="0"/>
    </xf>
    <xf numFmtId="39" fontId="23" fillId="0" borderId="6" xfId="12" applyNumberFormat="1" applyFont="1" applyBorder="1" applyAlignment="1" applyProtection="1">
      <alignment vertical="top" wrapText="1"/>
      <protection locked="0"/>
    </xf>
    <xf numFmtId="39" fontId="23" fillId="0" borderId="7" xfId="12" applyNumberFormat="1" applyFont="1" applyBorder="1" applyAlignment="1" applyProtection="1">
      <alignment vertical="top" wrapText="1"/>
      <protection locked="0"/>
    </xf>
    <xf numFmtId="39" fontId="23" fillId="0" borderId="54" xfId="12" applyNumberFormat="1" applyFont="1" applyBorder="1" applyAlignment="1" applyProtection="1">
      <alignment vertical="top" wrapText="1"/>
      <protection locked="0"/>
    </xf>
    <xf numFmtId="39" fontId="25" fillId="0" borderId="6" xfId="12" applyNumberFormat="1" applyFont="1" applyBorder="1" applyAlignment="1" applyProtection="1">
      <alignment vertical="top" wrapText="1"/>
      <protection locked="0"/>
    </xf>
    <xf numFmtId="39" fontId="25" fillId="0" borderId="7" xfId="12" applyNumberFormat="1" applyFont="1" applyBorder="1" applyAlignment="1" applyProtection="1">
      <alignment vertical="top" wrapText="1"/>
      <protection locked="0"/>
    </xf>
    <xf numFmtId="39" fontId="25" fillId="0" borderId="54" xfId="12" applyNumberFormat="1" applyFont="1" applyBorder="1" applyAlignment="1" applyProtection="1">
      <alignment vertical="top" wrapText="1"/>
      <protection locked="0"/>
    </xf>
    <xf numFmtId="39" fontId="3" fillId="0" borderId="6" xfId="12" applyNumberFormat="1" applyFont="1" applyBorder="1" applyAlignment="1" applyProtection="1">
      <alignment vertical="top" wrapText="1"/>
      <protection locked="0"/>
    </xf>
    <xf numFmtId="39" fontId="3" fillId="0" borderId="54" xfId="12" applyNumberFormat="1" applyFont="1" applyBorder="1" applyAlignment="1" applyProtection="1">
      <alignment vertical="top" wrapText="1"/>
      <protection locked="0"/>
    </xf>
    <xf numFmtId="39" fontId="25" fillId="0" borderId="52" xfId="12" applyNumberFormat="1" applyFont="1" applyBorder="1" applyAlignment="1" applyProtection="1">
      <alignment vertical="top" wrapText="1"/>
      <protection locked="0"/>
    </xf>
    <xf numFmtId="0" fontId="37" fillId="0" borderId="52" xfId="4" applyFont="1" applyBorder="1" applyAlignment="1" applyProtection="1">
      <alignment vertical="top" wrapText="1"/>
      <protection locked="0"/>
    </xf>
    <xf numFmtId="49" fontId="5" fillId="0" borderId="6" xfId="4" applyNumberFormat="1" applyFont="1" applyBorder="1" applyAlignment="1" applyProtection="1">
      <alignment horizontal="center" vertical="top" wrapText="1"/>
      <protection locked="0"/>
    </xf>
    <xf numFmtId="0" fontId="1" fillId="0" borderId="54" xfId="4" applyBorder="1" applyAlignment="1" applyProtection="1">
      <alignment horizontal="center" vertical="top" wrapText="1"/>
      <protection locked="0"/>
    </xf>
    <xf numFmtId="0" fontId="8" fillId="0" borderId="0" xfId="4" applyFont="1" applyAlignment="1">
      <alignment vertical="top" wrapText="1"/>
    </xf>
    <xf numFmtId="0" fontId="2" fillId="0" borderId="0" xfId="4" applyFont="1" applyAlignment="1">
      <alignment vertical="top" wrapText="1"/>
    </xf>
    <xf numFmtId="0" fontId="5" fillId="0" borderId="4" xfId="4" applyFont="1" applyBorder="1" applyAlignment="1" applyProtection="1">
      <alignment horizontal="left" vertical="top" wrapText="1"/>
      <protection locked="0"/>
    </xf>
    <xf numFmtId="0" fontId="5" fillId="0" borderId="5" xfId="4" applyFont="1" applyBorder="1" applyAlignment="1" applyProtection="1">
      <alignment horizontal="left" vertical="top" wrapText="1"/>
      <protection locked="0"/>
    </xf>
    <xf numFmtId="0" fontId="5" fillId="0" borderId="36" xfId="4" applyFont="1" applyBorder="1" applyAlignment="1" applyProtection="1">
      <alignment horizontal="left" vertical="top" wrapText="1"/>
      <protection locked="0"/>
    </xf>
    <xf numFmtId="0" fontId="5" fillId="0" borderId="4" xfId="4" applyFont="1" applyBorder="1" applyAlignment="1" applyProtection="1">
      <alignment vertical="top" wrapText="1"/>
      <protection locked="0"/>
    </xf>
    <xf numFmtId="0" fontId="2" fillId="0" borderId="5" xfId="4" applyFont="1" applyBorder="1" applyAlignment="1" applyProtection="1">
      <alignment vertical="top" wrapText="1"/>
      <protection locked="0"/>
    </xf>
    <xf numFmtId="0" fontId="2" fillId="0" borderId="36" xfId="4" applyFont="1" applyBorder="1" applyAlignment="1" applyProtection="1">
      <alignment vertical="top" wrapText="1"/>
      <protection locked="0"/>
    </xf>
    <xf numFmtId="0" fontId="5" fillId="0" borderId="53" xfId="4" applyFont="1" applyBorder="1" applyAlignment="1" applyProtection="1">
      <alignment vertical="top" wrapText="1"/>
      <protection locked="0"/>
    </xf>
    <xf numFmtId="0" fontId="1" fillId="0" borderId="53" xfId="4" applyBorder="1" applyAlignment="1" applyProtection="1">
      <alignment vertical="top" wrapText="1"/>
      <protection locked="0"/>
    </xf>
    <xf numFmtId="39" fontId="3" fillId="0" borderId="53" xfId="12" applyNumberFormat="1" applyFont="1" applyBorder="1" applyAlignment="1" applyProtection="1">
      <alignment vertical="top" wrapText="1"/>
      <protection locked="0"/>
    </xf>
  </cellXfs>
  <cellStyles count="16">
    <cellStyle name="Hyperlink" xfId="1" builtinId="8"/>
    <cellStyle name="Moeda" xfId="14" builtinId="4"/>
    <cellStyle name="Moeda 2" xfId="2"/>
    <cellStyle name="Moeda 3 2" xfId="3"/>
    <cellStyle name="Normal" xfId="0" builtinId="0"/>
    <cellStyle name="Normal 2" xfId="4"/>
    <cellStyle name="Normal 2 3" xfId="5"/>
    <cellStyle name="Normal 2 3 2" xfId="15"/>
    <cellStyle name="Normal 3" xfId="6"/>
    <cellStyle name="Normal 4 2" xfId="7"/>
    <cellStyle name="Normal_RVT FL - 01" xfId="8"/>
    <cellStyle name="Porcentagem" xfId="9" builtinId="5"/>
    <cellStyle name="Separador de milhares" xfId="13" builtinId="3"/>
    <cellStyle name="Separador de milhares 3" xfId="10"/>
    <cellStyle name="Separador de milhares 3 2" xfId="11"/>
    <cellStyle name="Separador de milhares 4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15</xdr:row>
      <xdr:rowOff>76200</xdr:rowOff>
    </xdr:from>
    <xdr:to>
      <xdr:col>3</xdr:col>
      <xdr:colOff>428625</xdr:colOff>
      <xdr:row>17</xdr:row>
      <xdr:rowOff>142875</xdr:rowOff>
    </xdr:to>
    <xdr:sp macro="" textlink="">
      <xdr:nvSpPr>
        <xdr:cNvPr id="1025" name="Picture 1" hidden="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04800" y="5048250"/>
          <a:ext cx="390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1647825</xdr:colOff>
      <xdr:row>0</xdr:row>
      <xdr:rowOff>0</xdr:rowOff>
    </xdr:from>
    <xdr:to>
      <xdr:col>4</xdr:col>
      <xdr:colOff>2622737</xdr:colOff>
      <xdr:row>4</xdr:row>
      <xdr:rowOff>37009</xdr:rowOff>
    </xdr:to>
    <xdr:pic>
      <xdr:nvPicPr>
        <xdr:cNvPr id="2" name="Imagem 1" descr="Resultado de imagem para itapororoca brasÃ£o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4191000" y="0"/>
          <a:ext cx="974912" cy="846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1697355</xdr:colOff>
      <xdr:row>0</xdr:row>
      <xdr:rowOff>0</xdr:rowOff>
    </xdr:from>
    <xdr:to>
      <xdr:col>4</xdr:col>
      <xdr:colOff>2672267</xdr:colOff>
      <xdr:row>4</xdr:row>
      <xdr:rowOff>37009</xdr:rowOff>
    </xdr:to>
    <xdr:pic>
      <xdr:nvPicPr>
        <xdr:cNvPr id="3" name="Imagem 2" descr="Resultado de imagem para itapororoca brasÃ£o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4318635" y="0"/>
          <a:ext cx="974912" cy="82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16</xdr:row>
      <xdr:rowOff>100012</xdr:rowOff>
    </xdr:from>
    <xdr:ext cx="716799" cy="51161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xmlns:a14="http://schemas.microsoft.com/office/drawing/2010/main" xmlns:mc="http://schemas.openxmlformats.org/markup-compatibility/2006" id="{CE85775D-FD80-4F4D-8E38-282AC8E49F31}"/>
            </a:ext>
          </a:extLst>
        </xdr:cNvPr>
        <xdr:cNvSpPr txBox="1"/>
      </xdr:nvSpPr>
      <xdr:spPr>
        <a:xfrm>
          <a:off x="971550" y="4443412"/>
          <a:ext cx="716799" cy="511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pt-BR" sz="1100" b="0" i="0">
              <a:latin typeface="Cambria Math" panose="02040503050406030204" pitchFamily="18" charset="0"/>
            </a:rPr>
            <a:t>51,83/(1+0,2615)</a:t>
          </a:r>
          <a:endParaRPr lang="pt-BR" sz="1100"/>
        </a:p>
        <a:p>
          <a:endParaRPr lang="pt-BR" sz="1100"/>
        </a:p>
      </xdr:txBody>
    </xdr:sp>
    <xdr:clientData/>
  </xdr:oneCellAnchor>
  <xdr:oneCellAnchor>
    <xdr:from>
      <xdr:col>1</xdr:col>
      <xdr:colOff>142875</xdr:colOff>
      <xdr:row>25</xdr:row>
      <xdr:rowOff>100012</xdr:rowOff>
    </xdr:from>
    <xdr:ext cx="735266" cy="522772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xmlns:a14="http://schemas.microsoft.com/office/drawing/2010/main" xmlns:mc="http://schemas.openxmlformats.org/markup-compatibility/2006" id="{E6E292C5-B7F3-4D67-BE68-5E757DD5C19E}"/>
            </a:ext>
          </a:extLst>
        </xdr:cNvPr>
        <xdr:cNvSpPr txBox="1"/>
      </xdr:nvSpPr>
      <xdr:spPr>
        <a:xfrm>
          <a:off x="971550" y="5900737"/>
          <a:ext cx="735266" cy="5227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pt-BR" sz="1100" b="0" i="0">
              <a:latin typeface="Cambria Math" panose="02040503050406030204" pitchFamily="18" charset="0"/>
            </a:rPr>
            <a:t>16,01/(1+0,2615)</a:t>
          </a:r>
          <a:endParaRPr lang="pt-BR" sz="1100"/>
        </a:p>
        <a:p>
          <a:endParaRPr lang="pt-BR" sz="1100"/>
        </a:p>
      </xdr:txBody>
    </xdr:sp>
    <xdr:clientData/>
  </xdr:oneCellAnchor>
  <xdr:oneCellAnchor>
    <xdr:from>
      <xdr:col>1</xdr:col>
      <xdr:colOff>142875</xdr:colOff>
      <xdr:row>34</xdr:row>
      <xdr:rowOff>100012</xdr:rowOff>
    </xdr:from>
    <xdr:ext cx="735266" cy="522772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xmlns="" xmlns:a14="http://schemas.microsoft.com/office/drawing/2010/main" xmlns:mc="http://schemas.openxmlformats.org/markup-compatibility/2006" id="{5B949E84-CDB4-4540-8595-2B5306184BB7}"/>
            </a:ext>
          </a:extLst>
        </xdr:cNvPr>
        <xdr:cNvSpPr txBox="1"/>
      </xdr:nvSpPr>
      <xdr:spPr>
        <a:xfrm>
          <a:off x="971550" y="7358062"/>
          <a:ext cx="735266" cy="5227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pt-BR" sz="1100" b="0" i="0">
              <a:latin typeface="Cambria Math" panose="02040503050406030204" pitchFamily="18" charset="0"/>
            </a:rPr>
            <a:t>16,01/(1+0,2615)</a:t>
          </a:r>
          <a:endParaRPr lang="pt-BR" sz="1100"/>
        </a:p>
        <a:p>
          <a:endParaRPr lang="pt-BR" sz="1100"/>
        </a:p>
      </xdr:txBody>
    </xdr:sp>
    <xdr:clientData/>
  </xdr:oneCellAnchor>
  <xdr:twoCellAnchor editAs="oneCell">
    <xdr:from>
      <xdr:col>3</xdr:col>
      <xdr:colOff>190500</xdr:colOff>
      <xdr:row>0</xdr:row>
      <xdr:rowOff>0</xdr:rowOff>
    </xdr:from>
    <xdr:to>
      <xdr:col>4</xdr:col>
      <xdr:colOff>347368</xdr:colOff>
      <xdr:row>4</xdr:row>
      <xdr:rowOff>0</xdr:rowOff>
    </xdr:to>
    <xdr:pic>
      <xdr:nvPicPr>
        <xdr:cNvPr id="7" name="Imagem 6" descr="Resultado de imagem para itapororoca brasÃ£o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2352261" y="0"/>
          <a:ext cx="87745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2924175</xdr:colOff>
      <xdr:row>0</xdr:row>
      <xdr:rowOff>0</xdr:rowOff>
    </xdr:from>
    <xdr:to>
      <xdr:col>2</xdr:col>
      <xdr:colOff>515505</xdr:colOff>
      <xdr:row>4</xdr:row>
      <xdr:rowOff>0</xdr:rowOff>
    </xdr:to>
    <xdr:pic>
      <xdr:nvPicPr>
        <xdr:cNvPr id="3" name="Imagem 2" descr="Resultado de imagem para itapororoca brasÃ£o">
          <a:extLst>
            <a:ext uri="{FF2B5EF4-FFF2-40B4-BE49-F238E27FC236}">
              <a16:creationId xmlns=""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3648075" y="0"/>
          <a:ext cx="87745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935978</xdr:colOff>
      <xdr:row>2</xdr:row>
      <xdr:rowOff>50987</xdr:rowOff>
    </xdr:from>
    <xdr:to>
      <xdr:col>6</xdr:col>
      <xdr:colOff>681044</xdr:colOff>
      <xdr:row>6</xdr:row>
      <xdr:rowOff>354</xdr:rowOff>
    </xdr:to>
    <xdr:pic>
      <xdr:nvPicPr>
        <xdr:cNvPr id="2" name="Imagem 1" descr="Resultado de imagem para itapororoca brasÃ£o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8712860" y="409575"/>
          <a:ext cx="798419" cy="711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990600</xdr:colOff>
      <xdr:row>1</xdr:row>
      <xdr:rowOff>454025</xdr:rowOff>
    </xdr:from>
    <xdr:to>
      <xdr:col>9</xdr:col>
      <xdr:colOff>567017</xdr:colOff>
      <xdr:row>3</xdr:row>
      <xdr:rowOff>108117</xdr:rowOff>
    </xdr:to>
    <xdr:pic>
      <xdr:nvPicPr>
        <xdr:cNvPr id="3" name="Imagem 2" descr="Resultado de imagem para itapororoca brasÃ£o"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6499225" y="644525"/>
          <a:ext cx="798792" cy="717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17</xdr:col>
      <xdr:colOff>942975</xdr:colOff>
      <xdr:row>1</xdr:row>
      <xdr:rowOff>406400</xdr:rowOff>
    </xdr:from>
    <xdr:ext cx="798792" cy="717717"/>
    <xdr:pic>
      <xdr:nvPicPr>
        <xdr:cNvPr id="4" name="Imagem 3" descr="Resultado de imagem para itapororoca brasÃ£o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16500475" y="596900"/>
          <a:ext cx="798792" cy="717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8</xdr:col>
      <xdr:colOff>76200</xdr:colOff>
      <xdr:row>3</xdr:row>
      <xdr:rowOff>123825</xdr:rowOff>
    </xdr:to>
    <xdr:pic>
      <xdr:nvPicPr>
        <xdr:cNvPr id="8193" name="Imagem 1">
          <a:extLst>
            <a:ext uri="{FF2B5EF4-FFF2-40B4-BE49-F238E27FC236}">
              <a16:creationId xmlns="" xmlns:a16="http://schemas.microsoft.com/office/drawing/2014/main" id="{00000000-0008-0000-1A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1476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1898276</xdr:colOff>
      <xdr:row>0</xdr:row>
      <xdr:rowOff>17931</xdr:rowOff>
    </xdr:from>
    <xdr:to>
      <xdr:col>4</xdr:col>
      <xdr:colOff>2873188</xdr:colOff>
      <xdr:row>4</xdr:row>
      <xdr:rowOff>24124</xdr:rowOff>
    </xdr:to>
    <xdr:pic>
      <xdr:nvPicPr>
        <xdr:cNvPr id="3" name="Imagem 2" descr="Resultado de imagem para itapororoca brasÃ£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4336676" y="17931"/>
          <a:ext cx="974912" cy="84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1710690</xdr:colOff>
      <xdr:row>0</xdr:row>
      <xdr:rowOff>38100</xdr:rowOff>
    </xdr:from>
    <xdr:to>
      <xdr:col>4</xdr:col>
      <xdr:colOff>2685602</xdr:colOff>
      <xdr:row>4</xdr:row>
      <xdr:rowOff>29389</xdr:rowOff>
    </xdr:to>
    <xdr:pic>
      <xdr:nvPicPr>
        <xdr:cNvPr id="3" name="Imagem 2" descr="Resultado de imagem para itapororoca brasÃ£o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5809" r="18332" b="22222"/>
        <a:stretch/>
      </xdr:blipFill>
      <xdr:spPr bwMode="auto">
        <a:xfrm>
          <a:off x="4331970" y="38100"/>
          <a:ext cx="974912" cy="78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0</xdr:rowOff>
    </xdr:from>
    <xdr:to>
      <xdr:col>4</xdr:col>
      <xdr:colOff>2765612</xdr:colOff>
      <xdr:row>4</xdr:row>
      <xdr:rowOff>37009</xdr:rowOff>
    </xdr:to>
    <xdr:pic>
      <xdr:nvPicPr>
        <xdr:cNvPr id="3" name="Imagem 2" descr="Resultado de imagem para itapororoca brasÃ£o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4333875" y="0"/>
          <a:ext cx="974912" cy="846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1723463</xdr:colOff>
      <xdr:row>0</xdr:row>
      <xdr:rowOff>0</xdr:rowOff>
    </xdr:from>
    <xdr:to>
      <xdr:col>4</xdr:col>
      <xdr:colOff>2698375</xdr:colOff>
      <xdr:row>4</xdr:row>
      <xdr:rowOff>6193</xdr:rowOff>
    </xdr:to>
    <xdr:pic>
      <xdr:nvPicPr>
        <xdr:cNvPr id="3" name="Imagem 2" descr="Resultado de imagem para itapororoca brasÃ£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4323228" y="0"/>
          <a:ext cx="974912" cy="84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1670685</xdr:colOff>
      <xdr:row>0</xdr:row>
      <xdr:rowOff>0</xdr:rowOff>
    </xdr:from>
    <xdr:to>
      <xdr:col>4</xdr:col>
      <xdr:colOff>2645597</xdr:colOff>
      <xdr:row>4</xdr:row>
      <xdr:rowOff>37009</xdr:rowOff>
    </xdr:to>
    <xdr:pic>
      <xdr:nvPicPr>
        <xdr:cNvPr id="3" name="Imagem 2" descr="Resultado de imagem para itapororoca brasÃ£o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4291965" y="0"/>
          <a:ext cx="974912" cy="82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1786890</xdr:colOff>
      <xdr:row>0</xdr:row>
      <xdr:rowOff>0</xdr:rowOff>
    </xdr:from>
    <xdr:to>
      <xdr:col>4</xdr:col>
      <xdr:colOff>2761802</xdr:colOff>
      <xdr:row>4</xdr:row>
      <xdr:rowOff>37009</xdr:rowOff>
    </xdr:to>
    <xdr:pic>
      <xdr:nvPicPr>
        <xdr:cNvPr id="3" name="Imagem 2" descr="Resultado de imagem para itapororoca brasÃ£o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4347210" y="0"/>
          <a:ext cx="974912" cy="82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1813560</xdr:colOff>
      <xdr:row>0</xdr:row>
      <xdr:rowOff>0</xdr:rowOff>
    </xdr:from>
    <xdr:to>
      <xdr:col>4</xdr:col>
      <xdr:colOff>2788472</xdr:colOff>
      <xdr:row>4</xdr:row>
      <xdr:rowOff>37009</xdr:rowOff>
    </xdr:to>
    <xdr:pic>
      <xdr:nvPicPr>
        <xdr:cNvPr id="2" name="Imagem 1" descr="Resultado de imagem para itapororoca brasÃ£o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4351020" y="0"/>
          <a:ext cx="974912" cy="829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1768287</xdr:colOff>
      <xdr:row>0</xdr:row>
      <xdr:rowOff>0</xdr:rowOff>
    </xdr:from>
    <xdr:to>
      <xdr:col>4</xdr:col>
      <xdr:colOff>2743199</xdr:colOff>
      <xdr:row>4</xdr:row>
      <xdr:rowOff>6193</xdr:rowOff>
    </xdr:to>
    <xdr:pic>
      <xdr:nvPicPr>
        <xdr:cNvPr id="2" name="Imagem 1" descr="Resultado de imagem para itapororoca brasÃ£o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334" t="22778" r="18332" b="22222"/>
        <a:stretch/>
      </xdr:blipFill>
      <xdr:spPr bwMode="auto">
        <a:xfrm>
          <a:off x="4368052" y="0"/>
          <a:ext cx="974912" cy="84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enharia01\D-eng01\Meus%20documentos_Eng%201D\PREFEITURAS%20MUNICIPAIS%20ENG.%201\Joao%20Pessoa\JO&#195;O%20PESSOA%202005\Al&#231;a%20Beira%20Rio_2004\relat&#243;rio\Der\DER\PB008norte\Pb008n-RelFinal01\Pb008n-RelFinal01-Dimens&amp;ComparaPavi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çosNoPrint"/>
      <sheetName val="ComparaQuantNoPrint"/>
      <sheetName val="TodasTraf-2011-NoPrint"/>
      <sheetName val="TrafPb008"/>
      <sheetName val="PavPb008"/>
      <sheetName val="TrafPb027"/>
      <sheetName val="PavPb027"/>
      <sheetName val="TrafPb033(1)"/>
      <sheetName val="PavPb033(1)"/>
      <sheetName val="TrafPb033(2)"/>
      <sheetName val="PavPb033(2)"/>
      <sheetName val="TrafPb059(1)"/>
      <sheetName val="PavPb059(1)"/>
      <sheetName val="TrafPb059(2)"/>
      <sheetName val="PavPb059(2)"/>
      <sheetName val="TrafPb061"/>
      <sheetName val="PavPb061"/>
      <sheetName val="TrafPb065"/>
      <sheetName val="PavPb065"/>
      <sheetName val="TodasTraf-2000-NoPrint"/>
      <sheetName val="Br101-NoPrint"/>
      <sheetName val="TrafAnual-NoPrint"/>
      <sheetName val="TrafContExpan-NoPrint"/>
      <sheetName val="PavComplNo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1"/>
  <dimension ref="A1:T27"/>
  <sheetViews>
    <sheetView view="pageBreakPreview" zoomScale="130" zoomScaleSheetLayoutView="130" workbookViewId="0">
      <selection activeCell="F30" sqref="F30"/>
    </sheetView>
  </sheetViews>
  <sheetFormatPr defaultColWidth="9.140625" defaultRowHeight="15"/>
  <cols>
    <col min="1" max="1" width="31.42578125" customWidth="1"/>
    <col min="2" max="2" width="15" customWidth="1"/>
    <col min="3" max="3" width="10.28515625" customWidth="1"/>
    <col min="4" max="4" width="11" customWidth="1"/>
    <col min="5" max="5" width="9.5703125" customWidth="1"/>
    <col min="6" max="6" width="9.7109375" customWidth="1"/>
    <col min="7" max="7" width="9.85546875" customWidth="1"/>
    <col min="8" max="8" width="9.28515625" customWidth="1"/>
  </cols>
  <sheetData>
    <row r="1" spans="1:20" ht="178.15" customHeight="1" thickBot="1">
      <c r="A1" s="485" t="s">
        <v>0</v>
      </c>
      <c r="B1" s="485"/>
      <c r="C1" s="470" t="s">
        <v>1</v>
      </c>
      <c r="D1" s="471"/>
      <c r="E1" s="472"/>
      <c r="F1" s="470" t="s">
        <v>2</v>
      </c>
      <c r="G1" s="471"/>
      <c r="H1" s="472"/>
      <c r="I1" s="470" t="s">
        <v>3</v>
      </c>
      <c r="J1" s="471"/>
      <c r="K1" s="472"/>
      <c r="L1" s="470" t="s">
        <v>4</v>
      </c>
      <c r="M1" s="471"/>
      <c r="N1" s="472"/>
      <c r="O1" s="470" t="s">
        <v>5</v>
      </c>
      <c r="P1" s="471"/>
      <c r="Q1" s="472"/>
      <c r="R1" s="470" t="s">
        <v>6</v>
      </c>
      <c r="S1" s="471"/>
      <c r="T1" s="472"/>
    </row>
    <row r="2" spans="1:20">
      <c r="A2" s="36" t="s">
        <v>7</v>
      </c>
      <c r="B2" s="37" t="s">
        <v>8</v>
      </c>
      <c r="C2" s="37" t="s">
        <v>9</v>
      </c>
      <c r="D2" s="37" t="s">
        <v>10</v>
      </c>
      <c r="E2" s="38" t="s">
        <v>11</v>
      </c>
      <c r="F2" s="39" t="s">
        <v>9</v>
      </c>
      <c r="G2" s="39" t="s">
        <v>10</v>
      </c>
      <c r="H2" s="40" t="s">
        <v>11</v>
      </c>
      <c r="I2" s="39" t="s">
        <v>9</v>
      </c>
      <c r="J2" s="39" t="s">
        <v>10</v>
      </c>
      <c r="K2" s="40" t="s">
        <v>11</v>
      </c>
      <c r="L2" s="39" t="s">
        <v>9</v>
      </c>
      <c r="M2" s="39" t="s">
        <v>10</v>
      </c>
      <c r="N2" s="40" t="s">
        <v>11</v>
      </c>
      <c r="O2" s="39" t="s">
        <v>9</v>
      </c>
      <c r="P2" s="39" t="s">
        <v>10</v>
      </c>
      <c r="Q2" s="40" t="s">
        <v>11</v>
      </c>
      <c r="R2" s="39" t="s">
        <v>9</v>
      </c>
      <c r="S2" s="39" t="s">
        <v>10</v>
      </c>
      <c r="T2" s="40" t="s">
        <v>11</v>
      </c>
    </row>
    <row r="3" spans="1:20">
      <c r="A3" s="41" t="s">
        <v>12</v>
      </c>
      <c r="B3" s="42">
        <v>4.04</v>
      </c>
      <c r="C3" s="43">
        <v>3</v>
      </c>
      <c r="D3" s="43">
        <v>4</v>
      </c>
      <c r="E3" s="43">
        <v>5.5</v>
      </c>
      <c r="F3" s="43">
        <v>3.8</v>
      </c>
      <c r="G3" s="44">
        <v>4.01</v>
      </c>
      <c r="H3" s="44">
        <v>4.67</v>
      </c>
      <c r="I3" s="44">
        <v>3.43</v>
      </c>
      <c r="J3" s="44">
        <v>4.93</v>
      </c>
      <c r="K3" s="44">
        <v>6.71</v>
      </c>
      <c r="L3" s="45">
        <v>1.5</v>
      </c>
      <c r="M3" s="45">
        <v>3.45</v>
      </c>
      <c r="N3" s="45">
        <v>4.49</v>
      </c>
      <c r="O3" s="45">
        <v>5.29</v>
      </c>
      <c r="P3" s="45">
        <v>5.92</v>
      </c>
      <c r="Q3" s="45">
        <v>7.93</v>
      </c>
      <c r="R3" s="44">
        <v>4</v>
      </c>
      <c r="S3" s="44">
        <v>5.52</v>
      </c>
      <c r="T3" s="44" t="s">
        <v>13</v>
      </c>
    </row>
    <row r="4" spans="1:20">
      <c r="A4" s="46" t="s">
        <v>14</v>
      </c>
      <c r="B4" s="47">
        <v>0.4</v>
      </c>
      <c r="C4" s="48">
        <v>0.8</v>
      </c>
      <c r="D4" s="48">
        <v>0.8</v>
      </c>
      <c r="E4" s="48">
        <v>1</v>
      </c>
      <c r="F4" s="48">
        <v>0.32</v>
      </c>
      <c r="G4" s="45">
        <v>0.4</v>
      </c>
      <c r="H4" s="45">
        <v>0.74</v>
      </c>
      <c r="I4" s="45">
        <v>0.28000000000000003</v>
      </c>
      <c r="J4" s="45">
        <v>0.49</v>
      </c>
      <c r="K4" s="45">
        <v>0.75</v>
      </c>
      <c r="L4" s="45">
        <v>0.3</v>
      </c>
      <c r="M4" s="45">
        <v>0.48</v>
      </c>
      <c r="N4" s="45">
        <v>0.82</v>
      </c>
      <c r="O4" s="45">
        <v>0.25</v>
      </c>
      <c r="P4" s="45">
        <v>0.51</v>
      </c>
      <c r="Q4" s="45">
        <v>0.56000000000000005</v>
      </c>
      <c r="R4" s="45">
        <v>0.81</v>
      </c>
      <c r="S4" s="45">
        <v>1.22</v>
      </c>
      <c r="T4" s="45">
        <v>1.99</v>
      </c>
    </row>
    <row r="5" spans="1:20">
      <c r="A5" s="46" t="s">
        <v>15</v>
      </c>
      <c r="B5" s="47">
        <v>0.56000000000000005</v>
      </c>
      <c r="C5" s="48">
        <v>0.97</v>
      </c>
      <c r="D5" s="48">
        <v>1.27</v>
      </c>
      <c r="E5" s="48">
        <v>1.27</v>
      </c>
      <c r="F5" s="48">
        <v>0.5</v>
      </c>
      <c r="G5" s="45">
        <v>0.56000000000000005</v>
      </c>
      <c r="H5" s="45">
        <v>0.97</v>
      </c>
      <c r="I5" s="45">
        <v>1</v>
      </c>
      <c r="J5" s="45">
        <v>1.39</v>
      </c>
      <c r="K5" s="45">
        <v>1.74</v>
      </c>
      <c r="L5" s="45">
        <v>0.56000000000000005</v>
      </c>
      <c r="M5" s="45">
        <v>0.85</v>
      </c>
      <c r="N5" s="45">
        <v>0.89</v>
      </c>
      <c r="O5" s="45">
        <v>1</v>
      </c>
      <c r="P5" s="45">
        <v>1.48</v>
      </c>
      <c r="Q5" s="45">
        <v>1.97</v>
      </c>
      <c r="R5" s="45">
        <v>1.46</v>
      </c>
      <c r="S5" s="45">
        <v>2.3199999999999998</v>
      </c>
      <c r="T5" s="45">
        <v>3.16</v>
      </c>
    </row>
    <row r="6" spans="1:20">
      <c r="A6" s="46" t="s">
        <v>16</v>
      </c>
      <c r="B6" s="47">
        <v>1.1100000000000001</v>
      </c>
      <c r="C6" s="48">
        <v>0.59</v>
      </c>
      <c r="D6" s="48">
        <v>1.23</v>
      </c>
      <c r="E6" s="48">
        <v>1.39</v>
      </c>
      <c r="F6" s="48">
        <v>1.02</v>
      </c>
      <c r="G6" s="45">
        <v>1.1100000000000001</v>
      </c>
      <c r="H6" s="49">
        <v>1.21</v>
      </c>
      <c r="I6" s="45">
        <v>0.94</v>
      </c>
      <c r="J6" s="45">
        <v>0.99</v>
      </c>
      <c r="K6" s="49">
        <v>1.17</v>
      </c>
      <c r="L6" s="45">
        <v>0.85</v>
      </c>
      <c r="M6" s="45">
        <v>0.85</v>
      </c>
      <c r="N6" s="49">
        <v>1.1100000000000001</v>
      </c>
      <c r="O6" s="45">
        <v>1.01</v>
      </c>
      <c r="P6" s="45">
        <v>1.07</v>
      </c>
      <c r="Q6" s="49">
        <v>1.1100000000000001</v>
      </c>
      <c r="R6" s="45">
        <v>0.94</v>
      </c>
      <c r="S6" s="45">
        <v>1.02</v>
      </c>
      <c r="T6" s="49">
        <v>1.33</v>
      </c>
    </row>
    <row r="7" spans="1:20">
      <c r="A7" s="46" t="s">
        <v>17</v>
      </c>
      <c r="B7" s="47">
        <v>7.3</v>
      </c>
      <c r="C7" s="50">
        <v>6.16</v>
      </c>
      <c r="D7" s="51">
        <v>7.4</v>
      </c>
      <c r="E7" s="50">
        <v>8.9600000000000009</v>
      </c>
      <c r="F7" s="52">
        <v>6.64</v>
      </c>
      <c r="G7" s="52">
        <v>7.3</v>
      </c>
      <c r="H7" s="53">
        <v>8.69</v>
      </c>
      <c r="I7" s="52">
        <v>6.74</v>
      </c>
      <c r="J7" s="52">
        <v>8.0399999999999991</v>
      </c>
      <c r="K7" s="53">
        <v>9.4</v>
      </c>
      <c r="L7" s="45">
        <v>3.5</v>
      </c>
      <c r="M7" s="45">
        <v>5.1100000000000003</v>
      </c>
      <c r="N7" s="53">
        <v>6.22</v>
      </c>
      <c r="O7" s="54">
        <v>8</v>
      </c>
      <c r="P7" s="52">
        <v>8.31</v>
      </c>
      <c r="Q7" s="53">
        <v>9.51</v>
      </c>
      <c r="R7" s="52">
        <v>7.14</v>
      </c>
      <c r="S7" s="52">
        <v>8.4</v>
      </c>
      <c r="T7" s="53">
        <v>10.43</v>
      </c>
    </row>
    <row r="8" spans="1:20">
      <c r="A8" s="55" t="s">
        <v>18</v>
      </c>
      <c r="B8" s="56">
        <v>6.65</v>
      </c>
      <c r="C8" s="479" t="s">
        <v>19</v>
      </c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</row>
    <row r="9" spans="1:20" ht="15.75" thickBot="1">
      <c r="C9" s="57"/>
      <c r="D9" s="57"/>
      <c r="E9" s="57"/>
    </row>
    <row r="10" spans="1:20" ht="15.75" thickBot="1">
      <c r="A10" s="480" t="s">
        <v>20</v>
      </c>
      <c r="B10" s="480"/>
      <c r="C10" s="480"/>
      <c r="D10" s="480"/>
      <c r="E10" s="57"/>
      <c r="F10" s="481" t="s">
        <v>21</v>
      </c>
      <c r="G10" s="482"/>
      <c r="H10" s="482"/>
      <c r="I10" s="482"/>
      <c r="J10" s="482"/>
      <c r="K10" s="482"/>
      <c r="L10" s="482"/>
      <c r="M10" s="482"/>
      <c r="N10" s="483"/>
      <c r="O10" s="185"/>
    </row>
    <row r="11" spans="1:20" ht="15.75" thickBot="1">
      <c r="A11" s="484" t="s">
        <v>22</v>
      </c>
      <c r="B11" s="484"/>
      <c r="C11" s="484"/>
      <c r="D11" s="484"/>
      <c r="E11" s="57"/>
      <c r="F11" s="481" t="s">
        <v>23</v>
      </c>
      <c r="G11" s="482"/>
      <c r="H11" s="482"/>
      <c r="I11" s="482"/>
      <c r="J11" s="482"/>
      <c r="K11" s="482"/>
      <c r="L11" s="58" t="s">
        <v>9</v>
      </c>
      <c r="M11" s="59" t="s">
        <v>10</v>
      </c>
      <c r="N11" s="60" t="s">
        <v>11</v>
      </c>
    </row>
    <row r="12" spans="1:20">
      <c r="A12" s="486" t="s">
        <v>24</v>
      </c>
      <c r="B12" s="486"/>
      <c r="C12" s="486"/>
      <c r="D12" s="486"/>
      <c r="E12" s="57"/>
      <c r="F12" s="487" t="s">
        <v>25</v>
      </c>
      <c r="G12" s="488"/>
      <c r="H12" s="488"/>
      <c r="I12" s="488"/>
      <c r="J12" s="488"/>
      <c r="K12" s="489"/>
      <c r="L12" s="61">
        <v>20.34</v>
      </c>
      <c r="M12" s="61">
        <v>22.12</v>
      </c>
      <c r="N12" s="61">
        <v>25</v>
      </c>
    </row>
    <row r="13" spans="1:20">
      <c r="A13" s="486" t="s">
        <v>26</v>
      </c>
      <c r="B13" s="486"/>
      <c r="C13" s="486"/>
      <c r="D13" s="486"/>
      <c r="F13" s="467" t="s">
        <v>27</v>
      </c>
      <c r="G13" s="468"/>
      <c r="H13" s="468"/>
      <c r="I13" s="468"/>
      <c r="J13" s="468"/>
      <c r="K13" s="469"/>
      <c r="L13" s="62">
        <v>19.600000000000001</v>
      </c>
      <c r="M13" s="62">
        <v>20.97</v>
      </c>
      <c r="N13" s="62">
        <v>24.23</v>
      </c>
    </row>
    <row r="14" spans="1:20" ht="20.25">
      <c r="A14" s="63" t="s">
        <v>28</v>
      </c>
      <c r="B14" s="64">
        <f>((1+(B3+B4+B5)/100)*((1+B6/100)*(1+B7/100))/(1-B8/100))-1</f>
        <v>0.2203</v>
      </c>
      <c r="C14" s="65"/>
      <c r="D14" s="65"/>
      <c r="F14" s="467" t="s">
        <v>29</v>
      </c>
      <c r="G14" s="468"/>
      <c r="H14" s="468"/>
      <c r="I14" s="468"/>
      <c r="J14" s="468"/>
      <c r="K14" s="469"/>
      <c r="L14" s="62">
        <v>20.76</v>
      </c>
      <c r="M14" s="62">
        <v>24.18</v>
      </c>
      <c r="N14" s="62">
        <v>26.44</v>
      </c>
    </row>
    <row r="15" spans="1:20" ht="18">
      <c r="A15" s="476" t="s">
        <v>30</v>
      </c>
      <c r="B15" s="477"/>
      <c r="C15" s="477"/>
      <c r="D15" s="478"/>
      <c r="F15" s="467" t="s">
        <v>31</v>
      </c>
      <c r="G15" s="468"/>
      <c r="H15" s="468"/>
      <c r="I15" s="468"/>
      <c r="J15" s="468"/>
      <c r="K15" s="469"/>
      <c r="L15" s="62">
        <v>24</v>
      </c>
      <c r="M15" s="62">
        <v>25.84</v>
      </c>
      <c r="N15" s="62">
        <v>27.86</v>
      </c>
    </row>
    <row r="16" spans="1:20">
      <c r="A16" s="66"/>
      <c r="B16" s="67"/>
      <c r="C16" s="67"/>
      <c r="D16" s="68"/>
      <c r="F16" s="467" t="s">
        <v>32</v>
      </c>
      <c r="G16" s="468"/>
      <c r="H16" s="468"/>
      <c r="I16" s="468"/>
      <c r="J16" s="468"/>
      <c r="K16" s="469"/>
      <c r="L16" s="62">
        <v>22.8</v>
      </c>
      <c r="M16" s="62">
        <v>27.48</v>
      </c>
      <c r="N16" s="62">
        <v>30.95</v>
      </c>
    </row>
    <row r="17" spans="1:14">
      <c r="A17" s="69"/>
      <c r="D17" s="70"/>
      <c r="F17" s="473" t="s">
        <v>33</v>
      </c>
      <c r="G17" s="474"/>
      <c r="H17" s="474"/>
      <c r="I17" s="474"/>
      <c r="J17" s="474"/>
      <c r="K17" s="475"/>
      <c r="L17" s="71">
        <v>11.1</v>
      </c>
      <c r="M17" s="71">
        <v>14.02</v>
      </c>
      <c r="N17" s="71">
        <v>16.8</v>
      </c>
    </row>
    <row r="18" spans="1:14">
      <c r="A18" s="72"/>
      <c r="B18" s="73"/>
      <c r="C18" s="73"/>
      <c r="D18" s="74"/>
    </row>
    <row r="20" spans="1:14" ht="15.75" thickBot="1">
      <c r="A20" s="75" t="s">
        <v>34</v>
      </c>
      <c r="B20" s="76"/>
      <c r="C20" s="76"/>
      <c r="D20" s="77"/>
    </row>
    <row r="21" spans="1:14">
      <c r="A21" s="78" t="s">
        <v>35</v>
      </c>
    </row>
    <row r="22" spans="1:14">
      <c r="A22" s="79" t="s">
        <v>36</v>
      </c>
    </row>
    <row r="23" spans="1:14">
      <c r="A23" s="79" t="s">
        <v>37</v>
      </c>
    </row>
    <row r="24" spans="1:14">
      <c r="A24" s="79" t="s">
        <v>38</v>
      </c>
    </row>
    <row r="27" spans="1:14">
      <c r="A27" s="79"/>
    </row>
  </sheetData>
  <mergeCells count="21">
    <mergeCell ref="A15:D15"/>
    <mergeCell ref="R1:T1"/>
    <mergeCell ref="C8:T8"/>
    <mergeCell ref="A10:D10"/>
    <mergeCell ref="F10:N10"/>
    <mergeCell ref="A11:D11"/>
    <mergeCell ref="F11:K11"/>
    <mergeCell ref="A1:B1"/>
    <mergeCell ref="C1:E1"/>
    <mergeCell ref="F1:H1"/>
    <mergeCell ref="I1:K1"/>
    <mergeCell ref="A12:D12"/>
    <mergeCell ref="F12:K12"/>
    <mergeCell ref="A13:D13"/>
    <mergeCell ref="F13:K13"/>
    <mergeCell ref="F14:K14"/>
    <mergeCell ref="F15:K15"/>
    <mergeCell ref="L1:N1"/>
    <mergeCell ref="O1:Q1"/>
    <mergeCell ref="F16:K16"/>
    <mergeCell ref="F17:K17"/>
  </mergeCells>
  <pageMargins left="0.25" right="0.25" top="0.75" bottom="0.75" header="0.3" footer="0.3"/>
  <pageSetup paperSize="9" scale="82" orientation="landscape" horizontalDpi="4294967293" verticalDpi="4294967293" r:id="rId1"/>
  <drawing r:id="rId2"/>
  <legacyDrawing r:id="rId3"/>
  <oleObjects>
    <oleObject progId="Microsoft Equation 3.0" shapeId="1025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2:BU129"/>
  <sheetViews>
    <sheetView view="pageBreakPreview" topLeftCell="A37" zoomScale="85" zoomScaleSheetLayoutView="85" workbookViewId="0">
      <selection activeCell="A108" sqref="A108:XFD122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13" width="3.7109375" style="200" customWidth="1"/>
    <col min="14" max="15" width="3.7109375" style="199" customWidth="1"/>
    <col min="16" max="18" width="3.7109375" style="200" customWidth="1"/>
    <col min="19" max="19" width="3.7109375" style="199" customWidth="1"/>
    <col min="20" max="34" width="3.71093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391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35" t="s">
        <v>171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0</v>
      </c>
      <c r="C10" s="543"/>
      <c r="D10" s="199" t="s">
        <v>148</v>
      </c>
      <c r="E10" s="198" t="s">
        <v>175</v>
      </c>
      <c r="F10" s="543">
        <f>AK10</f>
        <v>0</v>
      </c>
      <c r="G10" s="543"/>
      <c r="H10" s="199" t="s">
        <v>148</v>
      </c>
      <c r="I10" s="198" t="s">
        <v>176</v>
      </c>
      <c r="J10" s="543">
        <f>B10*F10</f>
        <v>0</v>
      </c>
      <c r="K10" s="543"/>
      <c r="L10" s="199" t="s">
        <v>85</v>
      </c>
      <c r="N10" s="198"/>
      <c r="O10" s="198"/>
      <c r="AJ10" s="201">
        <v>0</v>
      </c>
      <c r="AK10" s="201">
        <v>0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AJ41</f>
        <v>80.91</v>
      </c>
      <c r="C16" s="530"/>
      <c r="D16" s="200" t="s">
        <v>148</v>
      </c>
      <c r="E16" s="214" t="s">
        <v>175</v>
      </c>
      <c r="F16" s="205"/>
      <c r="G16" s="543">
        <f>AK41</f>
        <v>6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2">
      <c r="A17" s="200" t="s">
        <v>420</v>
      </c>
      <c r="B17" s="199"/>
      <c r="E17" s="525">
        <v>32.47</v>
      </c>
      <c r="F17" s="528"/>
      <c r="G17" s="199"/>
      <c r="H17" s="199"/>
      <c r="J17" s="214"/>
      <c r="K17" s="199"/>
      <c r="L17" s="199"/>
      <c r="N17" s="198"/>
      <c r="P17" s="199"/>
      <c r="AJ17" s="201"/>
      <c r="AK17" s="201"/>
      <c r="AL17" s="201"/>
      <c r="AM17" s="201"/>
      <c r="AN17" s="203"/>
    </row>
    <row r="18" spans="1:42">
      <c r="B18" s="204"/>
      <c r="C18" s="204"/>
      <c r="D18" s="204"/>
      <c r="E18" s="206"/>
      <c r="AJ18" s="201"/>
      <c r="AK18" s="202"/>
      <c r="AL18" s="202"/>
      <c r="AM18" s="203"/>
      <c r="AN18" s="203"/>
    </row>
    <row r="19" spans="1:42">
      <c r="A19" s="200" t="s">
        <v>185</v>
      </c>
      <c r="B19" s="204"/>
      <c r="C19" s="525">
        <f>B16*G16+E17</f>
        <v>517.92999999999995</v>
      </c>
      <c r="D19" s="525"/>
      <c r="E19" s="525"/>
      <c r="F19" s="206" t="s">
        <v>85</v>
      </c>
      <c r="AJ19" s="201"/>
      <c r="AK19" s="202"/>
      <c r="AL19" s="202"/>
      <c r="AM19" s="203"/>
      <c r="AN19" s="203"/>
    </row>
    <row r="20" spans="1:42">
      <c r="F20" s="216"/>
      <c r="G20" s="216"/>
      <c r="N20" s="200"/>
      <c r="O20" s="200"/>
      <c r="S20" s="200"/>
      <c r="AJ20" s="201"/>
      <c r="AK20" s="202"/>
      <c r="AL20" s="202"/>
      <c r="AM20" s="203"/>
      <c r="AN20" s="203"/>
    </row>
    <row r="21" spans="1:42" ht="15">
      <c r="A21" s="542" t="s">
        <v>428</v>
      </c>
      <c r="B21" s="542"/>
      <c r="C21" s="542"/>
      <c r="D21" s="542"/>
      <c r="E21" s="542"/>
      <c r="F21" s="542"/>
      <c r="G21" s="542"/>
      <c r="H21" s="542"/>
      <c r="I21" s="542"/>
      <c r="J21" s="542"/>
      <c r="K21" s="542"/>
      <c r="L21" s="542"/>
      <c r="M21" s="542"/>
      <c r="N21" s="542"/>
      <c r="O21" s="542"/>
      <c r="P21" s="542"/>
      <c r="Q21" s="542"/>
      <c r="R21" s="542"/>
      <c r="S21" s="542"/>
      <c r="T21" s="542"/>
      <c r="U21" s="542"/>
      <c r="V21" s="542"/>
      <c r="W21" s="542"/>
      <c r="X21" s="542"/>
      <c r="Y21" s="542"/>
      <c r="Z21" s="542"/>
      <c r="AA21" s="542"/>
      <c r="AB21" s="542"/>
      <c r="AC21" s="542"/>
      <c r="AD21" s="542"/>
      <c r="AE21" s="542"/>
      <c r="AF21" s="542"/>
      <c r="AG21" s="542"/>
      <c r="AH21" s="542"/>
      <c r="AI21" s="542"/>
      <c r="AJ21" s="201"/>
      <c r="AK21" s="202"/>
      <c r="AL21" s="202"/>
      <c r="AM21" s="203"/>
      <c r="AN21" s="203"/>
    </row>
    <row r="22" spans="1:42">
      <c r="AJ22" s="201"/>
      <c r="AK22" s="202"/>
      <c r="AL22" s="202"/>
      <c r="AM22" s="203"/>
      <c r="AN22" s="203"/>
      <c r="AP22" s="247"/>
    </row>
    <row r="23" spans="1:42">
      <c r="A23" s="530" t="s">
        <v>442</v>
      </c>
      <c r="B23" s="530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0"/>
      <c r="AC23" s="530"/>
      <c r="AD23" s="530"/>
      <c r="AE23" s="530"/>
      <c r="AF23" s="530"/>
      <c r="AG23" s="530"/>
      <c r="AH23" s="530"/>
      <c r="AI23" s="530"/>
      <c r="AJ23" s="201"/>
      <c r="AK23" s="202"/>
      <c r="AL23" s="202"/>
      <c r="AM23" s="203"/>
      <c r="AN23" s="203"/>
      <c r="AP23" s="248"/>
    </row>
    <row r="24" spans="1:42">
      <c r="AJ24" s="201" t="s">
        <v>178</v>
      </c>
      <c r="AK24" s="202"/>
      <c r="AL24" s="202"/>
      <c r="AM24" s="203"/>
      <c r="AN24" s="203"/>
      <c r="AP24" s="248"/>
    </row>
    <row r="25" spans="1:42">
      <c r="A25" s="200" t="s">
        <v>179</v>
      </c>
      <c r="B25" s="543">
        <f>AJ25</f>
        <v>2</v>
      </c>
      <c r="C25" s="543"/>
      <c r="D25" s="200" t="s">
        <v>102</v>
      </c>
      <c r="AJ25" s="201">
        <v>2</v>
      </c>
      <c r="AK25" s="202"/>
      <c r="AL25" s="202"/>
      <c r="AM25" s="203"/>
      <c r="AN25" s="203"/>
      <c r="AP25" s="248"/>
    </row>
    <row r="26" spans="1:42">
      <c r="AJ26" s="201"/>
      <c r="AK26" s="202"/>
      <c r="AL26" s="202"/>
      <c r="AM26" s="203"/>
      <c r="AN26" s="203"/>
      <c r="AP26" s="199"/>
    </row>
    <row r="27" spans="1:42" ht="15">
      <c r="A27" s="539" t="s">
        <v>180</v>
      </c>
      <c r="B27" s="540"/>
      <c r="C27" s="540"/>
      <c r="D27" s="540"/>
      <c r="E27" s="540"/>
      <c r="F27" s="540"/>
      <c r="G27" s="540"/>
      <c r="H27" s="540"/>
      <c r="I27" s="540"/>
      <c r="J27" s="540"/>
      <c r="K27" s="540"/>
      <c r="L27" s="540"/>
      <c r="M27" s="540"/>
      <c r="N27" s="540"/>
      <c r="O27" s="540"/>
      <c r="P27" s="540"/>
      <c r="Q27" s="540"/>
      <c r="R27" s="540"/>
      <c r="S27" s="540"/>
      <c r="T27" s="540"/>
      <c r="U27" s="540"/>
      <c r="V27" s="540"/>
      <c r="W27" s="540"/>
      <c r="X27" s="540"/>
      <c r="Y27" s="540"/>
      <c r="Z27" s="540"/>
      <c r="AA27" s="540"/>
      <c r="AB27" s="540"/>
      <c r="AC27" s="540"/>
      <c r="AD27" s="540"/>
      <c r="AE27" s="540"/>
      <c r="AF27" s="540"/>
      <c r="AG27" s="540"/>
      <c r="AH27" s="540"/>
      <c r="AI27" s="541"/>
      <c r="AJ27" s="201"/>
      <c r="AK27" s="202"/>
      <c r="AL27" s="202"/>
      <c r="AM27" s="203"/>
      <c r="AN27" s="203"/>
    </row>
    <row r="28" spans="1:42">
      <c r="AJ28" s="201"/>
      <c r="AK28" s="202"/>
      <c r="AL28" s="202"/>
      <c r="AM28" s="203"/>
      <c r="AN28" s="203"/>
    </row>
    <row r="29" spans="1:42" ht="15">
      <c r="A29" s="542" t="s">
        <v>409</v>
      </c>
      <c r="B29" s="542"/>
      <c r="C29" s="542"/>
      <c r="D29" s="542"/>
      <c r="E29" s="542"/>
      <c r="F29" s="542"/>
      <c r="G29" s="542"/>
      <c r="H29" s="542"/>
      <c r="I29" s="542"/>
      <c r="J29" s="542"/>
      <c r="K29" s="542"/>
      <c r="L29" s="542"/>
      <c r="M29" s="542"/>
      <c r="N29" s="542"/>
      <c r="O29" s="542"/>
      <c r="P29" s="542"/>
      <c r="Q29" s="542"/>
      <c r="R29" s="542"/>
      <c r="S29" s="542"/>
      <c r="T29" s="542"/>
      <c r="U29" s="542"/>
      <c r="V29" s="542"/>
      <c r="W29" s="542"/>
      <c r="X29" s="542"/>
      <c r="Y29" s="542"/>
      <c r="Z29" s="542"/>
      <c r="AA29" s="542"/>
      <c r="AB29" s="542"/>
      <c r="AC29" s="542"/>
      <c r="AD29" s="542"/>
      <c r="AE29" s="542"/>
      <c r="AF29" s="542"/>
      <c r="AG29" s="542"/>
      <c r="AH29" s="542"/>
      <c r="AI29" s="542"/>
      <c r="AJ29" s="201"/>
      <c r="AK29" s="202"/>
      <c r="AL29" s="202"/>
      <c r="AM29" s="203"/>
      <c r="AN29" s="203"/>
    </row>
    <row r="30" spans="1:42">
      <c r="AJ30" s="201"/>
      <c r="AK30" s="202"/>
      <c r="AL30" s="202"/>
      <c r="AM30" s="203"/>
      <c r="AN30" s="203"/>
    </row>
    <row r="31" spans="1:42">
      <c r="A31" s="530" t="s">
        <v>248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0"/>
      <c r="R31" s="530"/>
      <c r="S31" s="530"/>
      <c r="T31" s="530"/>
      <c r="U31" s="530"/>
      <c r="V31" s="530"/>
      <c r="W31" s="530"/>
      <c r="X31" s="530"/>
      <c r="Y31" s="530"/>
      <c r="Z31" s="530"/>
      <c r="AA31" s="530"/>
      <c r="AB31" s="530"/>
      <c r="AC31" s="530"/>
      <c r="AD31" s="530"/>
      <c r="AE31" s="530"/>
      <c r="AF31" s="530"/>
      <c r="AG31" s="530"/>
      <c r="AH31" s="530"/>
      <c r="AI31" s="530"/>
      <c r="AJ31" s="201"/>
      <c r="AK31" s="202"/>
      <c r="AL31" s="202"/>
      <c r="AM31" s="203"/>
      <c r="AN31" s="203"/>
    </row>
    <row r="32" spans="1:42">
      <c r="A32" s="526"/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  <c r="X32" s="526"/>
      <c r="Y32" s="526"/>
      <c r="Z32" s="526"/>
      <c r="AA32" s="526"/>
      <c r="AB32" s="526"/>
      <c r="AC32" s="526"/>
      <c r="AD32" s="526"/>
      <c r="AE32" s="526"/>
      <c r="AF32" s="526"/>
      <c r="AG32" s="526"/>
      <c r="AH32" s="526"/>
      <c r="AI32" s="526"/>
      <c r="AJ32" s="212"/>
      <c r="AK32" s="212"/>
      <c r="AL32" s="212"/>
      <c r="AM32" s="213"/>
      <c r="AN32" s="203"/>
    </row>
    <row r="33" spans="1:40">
      <c r="A33" s="200" t="s">
        <v>174</v>
      </c>
      <c r="B33" s="543">
        <f>AJ41</f>
        <v>80.91</v>
      </c>
      <c r="C33" s="530"/>
      <c r="D33" s="200" t="s">
        <v>148</v>
      </c>
      <c r="E33" s="214" t="s">
        <v>175</v>
      </c>
      <c r="F33" s="205"/>
      <c r="G33" s="543">
        <f>AK41</f>
        <v>6</v>
      </c>
      <c r="H33" s="543"/>
      <c r="I33" s="200" t="s">
        <v>148</v>
      </c>
      <c r="J33" s="214"/>
      <c r="K33" s="199"/>
      <c r="L33" s="199"/>
      <c r="N33" s="198"/>
      <c r="P33" s="199"/>
      <c r="AJ33" s="201"/>
      <c r="AK33" s="201"/>
      <c r="AL33" s="201"/>
      <c r="AM33" s="201"/>
      <c r="AN33" s="203"/>
    </row>
    <row r="34" spans="1:40">
      <c r="A34" s="200" t="s">
        <v>420</v>
      </c>
      <c r="B34" s="199"/>
      <c r="E34" s="525">
        <f>E17</f>
        <v>32.47</v>
      </c>
      <c r="F34" s="528"/>
      <c r="G34" s="199"/>
      <c r="H34" s="199"/>
      <c r="J34" s="214"/>
      <c r="K34" s="199"/>
      <c r="L34" s="199"/>
      <c r="N34" s="198"/>
      <c r="P34" s="199"/>
      <c r="AJ34" s="201"/>
      <c r="AK34" s="201"/>
      <c r="AL34" s="201"/>
      <c r="AM34" s="201"/>
      <c r="AN34" s="203"/>
    </row>
    <row r="35" spans="1:40">
      <c r="A35" s="200" t="s">
        <v>174</v>
      </c>
      <c r="B35" s="532">
        <f>B33*G33+E34</f>
        <v>517.92999999999995</v>
      </c>
      <c r="C35" s="532"/>
      <c r="D35" s="532"/>
      <c r="E35" s="206" t="s">
        <v>85</v>
      </c>
      <c r="AJ35" s="201"/>
      <c r="AK35" s="202"/>
      <c r="AL35" s="202"/>
      <c r="AM35" s="203"/>
      <c r="AN35" s="203"/>
    </row>
    <row r="36" spans="1:40">
      <c r="F36" s="216"/>
      <c r="G36" s="216"/>
      <c r="N36" s="200"/>
      <c r="O36" s="200"/>
      <c r="S36" s="200"/>
      <c r="AJ36" s="201"/>
      <c r="AK36" s="202"/>
      <c r="AL36" s="202"/>
      <c r="AM36" s="203"/>
      <c r="AN36" s="203"/>
    </row>
    <row r="37" spans="1:40" ht="15">
      <c r="A37" s="542" t="s">
        <v>372</v>
      </c>
      <c r="B37" s="542"/>
      <c r="C37" s="542"/>
      <c r="D37" s="542"/>
      <c r="E37" s="542"/>
      <c r="F37" s="542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  <c r="AC37" s="542"/>
      <c r="AD37" s="542"/>
      <c r="AE37" s="542"/>
      <c r="AF37" s="542"/>
      <c r="AG37" s="542"/>
      <c r="AH37" s="542"/>
      <c r="AI37" s="542"/>
      <c r="AJ37" s="201"/>
      <c r="AK37" s="202"/>
      <c r="AL37" s="202"/>
      <c r="AM37" s="203"/>
      <c r="AN37" s="203"/>
    </row>
    <row r="38" spans="1:40">
      <c r="AJ38" s="201"/>
      <c r="AK38" s="202"/>
      <c r="AL38" s="202"/>
      <c r="AM38" s="203"/>
      <c r="AN38" s="203"/>
    </row>
    <row r="39" spans="1:40">
      <c r="A39" s="530" t="s">
        <v>248</v>
      </c>
      <c r="B39" s="530"/>
      <c r="C39" s="530"/>
      <c r="D39" s="530"/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0"/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30"/>
      <c r="AC39" s="530"/>
      <c r="AD39" s="530"/>
      <c r="AE39" s="530"/>
      <c r="AF39" s="530"/>
      <c r="AG39" s="530"/>
      <c r="AH39" s="530"/>
      <c r="AI39" s="530"/>
      <c r="AJ39" s="201"/>
      <c r="AK39" s="202"/>
      <c r="AL39" s="202"/>
      <c r="AM39" s="203"/>
      <c r="AN39" s="203"/>
    </row>
    <row r="40" spans="1:40">
      <c r="A40" s="526"/>
      <c r="B40" s="526"/>
      <c r="C40" s="526"/>
      <c r="D40" s="526"/>
      <c r="E40" s="526"/>
      <c r="F40" s="526"/>
      <c r="G40" s="526"/>
      <c r="H40" s="526"/>
      <c r="I40" s="526"/>
      <c r="J40" s="526"/>
      <c r="K40" s="526"/>
      <c r="L40" s="526"/>
      <c r="M40" s="526"/>
      <c r="N40" s="526"/>
      <c r="O40" s="526"/>
      <c r="P40" s="526"/>
      <c r="Q40" s="526"/>
      <c r="R40" s="526"/>
      <c r="S40" s="526"/>
      <c r="T40" s="526"/>
      <c r="U40" s="526"/>
      <c r="V40" s="526"/>
      <c r="W40" s="526"/>
      <c r="X40" s="526"/>
      <c r="Y40" s="526"/>
      <c r="Z40" s="526"/>
      <c r="AA40" s="526"/>
      <c r="AB40" s="526"/>
      <c r="AC40" s="526"/>
      <c r="AD40" s="526"/>
      <c r="AE40" s="526"/>
      <c r="AF40" s="526"/>
      <c r="AG40" s="526"/>
      <c r="AH40" s="526"/>
      <c r="AI40" s="526"/>
      <c r="AJ40" s="212" t="s">
        <v>181</v>
      </c>
      <c r="AK40" s="212" t="s">
        <v>182</v>
      </c>
      <c r="AL40" s="212" t="s">
        <v>183</v>
      </c>
      <c r="AM40" s="213" t="s">
        <v>184</v>
      </c>
      <c r="AN40" s="203"/>
    </row>
    <row r="41" spans="1:40">
      <c r="A41" s="200" t="s">
        <v>174</v>
      </c>
      <c r="B41" s="543">
        <f>AJ41</f>
        <v>80.91</v>
      </c>
      <c r="C41" s="530"/>
      <c r="D41" s="200" t="s">
        <v>148</v>
      </c>
      <c r="E41" s="214" t="s">
        <v>175</v>
      </c>
      <c r="F41" s="205"/>
      <c r="G41" s="543">
        <f>AK41</f>
        <v>6</v>
      </c>
      <c r="H41" s="543"/>
      <c r="I41" s="200" t="s">
        <v>148</v>
      </c>
      <c r="J41" s="214"/>
      <c r="K41" s="199"/>
      <c r="L41" s="199"/>
      <c r="N41" s="198"/>
      <c r="P41" s="199"/>
      <c r="AJ41" s="201">
        <v>80.91</v>
      </c>
      <c r="AK41" s="201">
        <v>6</v>
      </c>
      <c r="AL41" s="201">
        <v>1.05</v>
      </c>
      <c r="AM41" s="201">
        <v>1.05</v>
      </c>
      <c r="AN41" s="203"/>
    </row>
    <row r="42" spans="1:40">
      <c r="A42" s="200" t="s">
        <v>420</v>
      </c>
      <c r="B42" s="199"/>
      <c r="E42" s="525">
        <f>E17</f>
        <v>32.47</v>
      </c>
      <c r="F42" s="528"/>
      <c r="G42" s="199"/>
      <c r="H42" s="199"/>
      <c r="J42" s="214"/>
      <c r="K42" s="199"/>
      <c r="L42" s="199"/>
      <c r="N42" s="198"/>
      <c r="P42" s="199"/>
      <c r="AJ42" s="201"/>
      <c r="AK42" s="201"/>
      <c r="AL42" s="201"/>
      <c r="AM42" s="201"/>
      <c r="AN42" s="203"/>
    </row>
    <row r="43" spans="1:40">
      <c r="A43" s="200" t="s">
        <v>185</v>
      </c>
      <c r="B43" s="204"/>
      <c r="C43" s="525">
        <f>AJ41*AK41+E42</f>
        <v>517.92999999999995</v>
      </c>
      <c r="D43" s="525"/>
      <c r="E43" s="206" t="s">
        <v>85</v>
      </c>
      <c r="AJ43" s="201"/>
      <c r="AK43" s="202"/>
      <c r="AL43" s="202"/>
      <c r="AM43" s="203"/>
      <c r="AN43" s="203"/>
    </row>
    <row r="44" spans="1:40">
      <c r="F44" s="216"/>
      <c r="G44" s="216"/>
      <c r="N44" s="200"/>
      <c r="O44" s="200"/>
      <c r="S44" s="200"/>
      <c r="AJ44" s="201"/>
      <c r="AK44" s="202"/>
      <c r="AL44" s="202"/>
      <c r="AM44" s="203"/>
      <c r="AN44" s="203"/>
    </row>
    <row r="45" spans="1:40" ht="15">
      <c r="A45" s="544" t="s">
        <v>383</v>
      </c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544"/>
      <c r="Z45" s="544"/>
      <c r="AA45" s="544"/>
      <c r="AB45" s="544"/>
      <c r="AC45" s="544"/>
      <c r="AD45" s="544"/>
      <c r="AE45" s="544"/>
      <c r="AF45" s="544"/>
      <c r="AG45" s="544"/>
      <c r="AH45" s="544"/>
      <c r="AI45" s="544"/>
      <c r="AJ45" s="201"/>
      <c r="AK45" s="202"/>
      <c r="AL45" s="202"/>
      <c r="AM45" s="203"/>
      <c r="AN45" s="203"/>
    </row>
    <row r="46" spans="1:40">
      <c r="AJ46" s="201"/>
      <c r="AK46" s="202"/>
      <c r="AL46" s="202"/>
      <c r="AM46" s="203"/>
      <c r="AN46" s="203"/>
    </row>
    <row r="47" spans="1:40">
      <c r="A47" s="526" t="s">
        <v>187</v>
      </c>
      <c r="B47" s="526"/>
      <c r="C47" s="526"/>
      <c r="D47" s="526"/>
      <c r="E47" s="526"/>
      <c r="F47" s="526"/>
      <c r="G47" s="526"/>
      <c r="H47" s="526"/>
      <c r="I47" s="526"/>
      <c r="J47" s="526"/>
      <c r="K47" s="526"/>
      <c r="L47" s="526"/>
      <c r="M47" s="526"/>
      <c r="N47" s="526"/>
      <c r="O47" s="526"/>
      <c r="P47" s="526"/>
      <c r="Q47" s="526"/>
      <c r="R47" s="526"/>
      <c r="S47" s="526"/>
      <c r="T47" s="526"/>
      <c r="U47" s="526"/>
      <c r="V47" s="526"/>
      <c r="W47" s="526"/>
      <c r="X47" s="526"/>
      <c r="Y47" s="526"/>
      <c r="Z47" s="526"/>
      <c r="AA47" s="526"/>
      <c r="AB47" s="526"/>
      <c r="AC47" s="526"/>
      <c r="AD47" s="526"/>
      <c r="AE47" s="526"/>
      <c r="AF47" s="526"/>
      <c r="AG47" s="526"/>
      <c r="AH47" s="526"/>
      <c r="AI47" s="526"/>
      <c r="AJ47" s="201"/>
      <c r="AK47" s="202"/>
      <c r="AL47" s="202"/>
      <c r="AM47" s="203"/>
      <c r="AN47" s="203"/>
    </row>
    <row r="48" spans="1:40">
      <c r="AJ48" s="201"/>
      <c r="AK48" s="202"/>
      <c r="AL48" s="202"/>
      <c r="AM48" s="203"/>
      <c r="AN48" s="203"/>
    </row>
    <row r="49" spans="1:40">
      <c r="A49" s="526" t="s">
        <v>188</v>
      </c>
      <c r="B49" s="526"/>
      <c r="C49" s="526"/>
      <c r="D49" s="526"/>
      <c r="F49" s="531">
        <v>41.71</v>
      </c>
      <c r="G49" s="531"/>
      <c r="H49" s="200" t="s">
        <v>148</v>
      </c>
      <c r="AJ49" s="201"/>
      <c r="AK49" s="202"/>
      <c r="AL49" s="202"/>
      <c r="AM49" s="203"/>
      <c r="AN49" s="203"/>
    </row>
    <row r="50" spans="1:40">
      <c r="A50" s="526" t="s">
        <v>189</v>
      </c>
      <c r="B50" s="526"/>
      <c r="C50" s="526"/>
      <c r="D50" s="526"/>
      <c r="F50" s="531">
        <v>41.59</v>
      </c>
      <c r="G50" s="531"/>
      <c r="H50" s="200" t="s">
        <v>148</v>
      </c>
      <c r="AJ50" s="201"/>
      <c r="AK50" s="202"/>
      <c r="AL50" s="202"/>
      <c r="AM50" s="203"/>
      <c r="AN50" s="203"/>
    </row>
    <row r="51" spans="1:40">
      <c r="A51" s="526" t="s">
        <v>190</v>
      </c>
      <c r="B51" s="526"/>
      <c r="C51" s="526"/>
      <c r="D51" s="526"/>
      <c r="F51" s="531">
        <v>80</v>
      </c>
      <c r="G51" s="531"/>
      <c r="H51" s="200" t="s">
        <v>148</v>
      </c>
      <c r="AJ51" s="201"/>
      <c r="AK51" s="202"/>
      <c r="AL51" s="202"/>
      <c r="AM51" s="203"/>
      <c r="AN51" s="203"/>
    </row>
    <row r="52" spans="1:40">
      <c r="A52" s="215"/>
      <c r="B52" s="215"/>
      <c r="C52" s="215"/>
      <c r="D52" s="215"/>
      <c r="F52" s="216"/>
      <c r="G52" s="216"/>
      <c r="AJ52" s="201"/>
      <c r="AK52" s="202"/>
      <c r="AL52" s="202"/>
      <c r="AM52" s="203"/>
      <c r="AN52" s="203"/>
    </row>
    <row r="53" spans="1:40">
      <c r="A53" s="215" t="s">
        <v>191</v>
      </c>
      <c r="B53" s="215"/>
      <c r="C53" s="215"/>
      <c r="D53" s="215"/>
      <c r="F53" s="531">
        <f>SUM(F49:G51)</f>
        <v>163.30000000000001</v>
      </c>
      <c r="G53" s="531"/>
      <c r="H53" s="200" t="s">
        <v>148</v>
      </c>
      <c r="AJ53" s="201"/>
      <c r="AK53" s="202"/>
      <c r="AL53" s="202"/>
      <c r="AM53" s="203"/>
      <c r="AN53" s="203"/>
    </row>
    <row r="54" spans="1:40">
      <c r="AJ54" s="201"/>
      <c r="AK54" s="202"/>
      <c r="AL54" s="202"/>
      <c r="AM54" s="203"/>
      <c r="AN54" s="203"/>
    </row>
    <row r="55" spans="1:40" ht="15">
      <c r="A55" s="542" t="s">
        <v>422</v>
      </c>
      <c r="B55" s="542"/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  <c r="N55" s="542"/>
      <c r="O55" s="542"/>
      <c r="P55" s="542"/>
      <c r="Q55" s="542"/>
      <c r="R55" s="542"/>
      <c r="S55" s="542"/>
      <c r="T55" s="542"/>
      <c r="U55" s="542"/>
      <c r="V55" s="542"/>
      <c r="W55" s="542"/>
      <c r="X55" s="542"/>
      <c r="Y55" s="542"/>
      <c r="Z55" s="542"/>
      <c r="AA55" s="542"/>
      <c r="AB55" s="542"/>
      <c r="AC55" s="542"/>
      <c r="AD55" s="542"/>
      <c r="AE55" s="542"/>
      <c r="AF55" s="542"/>
      <c r="AG55" s="542"/>
      <c r="AH55" s="542"/>
      <c r="AI55" s="542"/>
      <c r="AJ55" s="201"/>
      <c r="AK55" s="202"/>
      <c r="AL55" s="202"/>
      <c r="AM55" s="203"/>
      <c r="AN55" s="203"/>
    </row>
    <row r="56" spans="1:40">
      <c r="AJ56" s="201"/>
      <c r="AK56" s="202"/>
      <c r="AL56" s="202"/>
      <c r="AM56" s="203"/>
      <c r="AN56" s="203"/>
    </row>
    <row r="57" spans="1:40">
      <c r="A57" s="530" t="s">
        <v>192</v>
      </c>
      <c r="B57" s="530"/>
      <c r="C57" s="53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30"/>
      <c r="P57" s="530"/>
      <c r="Q57" s="530"/>
      <c r="R57" s="530"/>
      <c r="S57" s="530"/>
      <c r="T57" s="530"/>
      <c r="U57" s="530"/>
      <c r="V57" s="530"/>
      <c r="W57" s="530"/>
      <c r="X57" s="530"/>
      <c r="Y57" s="530"/>
      <c r="Z57" s="530"/>
      <c r="AA57" s="530"/>
      <c r="AB57" s="530"/>
      <c r="AC57" s="530"/>
      <c r="AD57" s="530"/>
      <c r="AE57" s="530"/>
      <c r="AF57" s="530"/>
      <c r="AG57" s="530"/>
      <c r="AH57" s="530"/>
      <c r="AI57" s="530"/>
      <c r="AJ57" s="548" t="s">
        <v>193</v>
      </c>
      <c r="AK57" s="548"/>
      <c r="AL57" s="202"/>
      <c r="AM57" s="203"/>
      <c r="AN57" s="203"/>
    </row>
    <row r="58" spans="1:40">
      <c r="AJ58" s="202">
        <v>2</v>
      </c>
      <c r="AK58" s="203"/>
      <c r="AL58" s="202"/>
      <c r="AM58" s="203"/>
      <c r="AN58" s="203"/>
    </row>
    <row r="59" spans="1:40">
      <c r="A59" s="200" t="s">
        <v>174</v>
      </c>
      <c r="B59" s="543">
        <f>AK41</f>
        <v>6</v>
      </c>
      <c r="C59" s="543"/>
      <c r="D59" s="543"/>
      <c r="E59" s="200" t="s">
        <v>148</v>
      </c>
      <c r="F59" s="214" t="s">
        <v>175</v>
      </c>
      <c r="G59" s="543">
        <f>AJ58</f>
        <v>2</v>
      </c>
      <c r="H59" s="543"/>
      <c r="I59" s="200" t="s">
        <v>194</v>
      </c>
      <c r="J59" s="214"/>
      <c r="K59" s="205"/>
      <c r="L59" s="199"/>
      <c r="M59" s="199"/>
      <c r="P59" s="199"/>
      <c r="Q59" s="199"/>
      <c r="T59" s="199"/>
      <c r="AJ59" s="201"/>
      <c r="AK59" s="202"/>
      <c r="AL59" s="202"/>
      <c r="AM59" s="203"/>
      <c r="AN59" s="203"/>
    </row>
    <row r="60" spans="1:40">
      <c r="A60" s="200" t="s">
        <v>174</v>
      </c>
      <c r="B60" s="543">
        <f>B59*G59</f>
        <v>12</v>
      </c>
      <c r="C60" s="543"/>
      <c r="D60" s="543"/>
      <c r="E60" s="200" t="s">
        <v>148</v>
      </c>
      <c r="AJ60" s="201"/>
      <c r="AK60" s="202"/>
      <c r="AL60" s="202"/>
      <c r="AM60" s="203"/>
      <c r="AN60" s="203"/>
    </row>
    <row r="61" spans="1:40">
      <c r="AJ61" s="201"/>
      <c r="AK61" s="202"/>
      <c r="AL61" s="202"/>
      <c r="AM61" s="203"/>
      <c r="AN61" s="203"/>
    </row>
    <row r="62" spans="1:40" s="223" customFormat="1" ht="27" customHeight="1">
      <c r="A62" s="544" t="s">
        <v>423</v>
      </c>
      <c r="B62" s="544"/>
      <c r="C62" s="544"/>
      <c r="D62" s="544"/>
      <c r="E62" s="544"/>
      <c r="F62" s="544"/>
      <c r="G62" s="544"/>
      <c r="H62" s="544"/>
      <c r="I62" s="544"/>
      <c r="J62" s="544"/>
      <c r="K62" s="544"/>
      <c r="L62" s="544"/>
      <c r="M62" s="544"/>
      <c r="N62" s="544"/>
      <c r="O62" s="544"/>
      <c r="P62" s="544"/>
      <c r="Q62" s="544"/>
      <c r="R62" s="544"/>
      <c r="S62" s="544"/>
      <c r="T62" s="544"/>
      <c r="U62" s="544"/>
      <c r="V62" s="544"/>
      <c r="W62" s="544"/>
      <c r="X62" s="544"/>
      <c r="Y62" s="544"/>
      <c r="Z62" s="544"/>
      <c r="AA62" s="544"/>
      <c r="AB62" s="544"/>
      <c r="AC62" s="544"/>
      <c r="AD62" s="544"/>
      <c r="AE62" s="544"/>
      <c r="AF62" s="544"/>
      <c r="AG62" s="544"/>
      <c r="AH62" s="544"/>
      <c r="AI62" s="544"/>
      <c r="AJ62" s="352"/>
      <c r="AK62" s="353"/>
      <c r="AL62" s="353"/>
      <c r="AM62" s="222"/>
      <c r="AN62" s="222"/>
    </row>
    <row r="63" spans="1:40">
      <c r="AJ63" s="201"/>
      <c r="AK63" s="202"/>
      <c r="AL63" s="202"/>
      <c r="AM63" s="203"/>
      <c r="AN63" s="203"/>
    </row>
    <row r="64" spans="1:40" ht="29.25" customHeight="1">
      <c r="A64" s="538" t="s">
        <v>195</v>
      </c>
      <c r="B64" s="538"/>
      <c r="C64" s="538"/>
      <c r="D64" s="538"/>
      <c r="E64" s="538"/>
      <c r="F64" s="538"/>
      <c r="G64" s="538"/>
      <c r="H64" s="538"/>
      <c r="I64" s="538"/>
      <c r="J64" s="538"/>
      <c r="K64" s="538"/>
      <c r="L64" s="538"/>
      <c r="M64" s="538"/>
      <c r="N64" s="538"/>
      <c r="O64" s="538"/>
      <c r="P64" s="538"/>
      <c r="Q64" s="538"/>
      <c r="R64" s="538"/>
      <c r="S64" s="538"/>
      <c r="T64" s="538"/>
      <c r="U64" s="538"/>
      <c r="V64" s="538"/>
      <c r="W64" s="538"/>
      <c r="X64" s="538"/>
      <c r="Y64" s="538"/>
      <c r="Z64" s="538"/>
      <c r="AA64" s="538"/>
      <c r="AB64" s="538"/>
      <c r="AC64" s="538"/>
      <c r="AD64" s="538"/>
      <c r="AE64" s="538"/>
      <c r="AF64" s="538"/>
      <c r="AG64" s="538"/>
      <c r="AH64" s="538"/>
      <c r="AI64" s="538"/>
      <c r="AJ64" s="201"/>
      <c r="AK64" s="202"/>
      <c r="AL64" s="202"/>
      <c r="AM64" s="203"/>
      <c r="AN64" s="203"/>
    </row>
    <row r="65" spans="1:40">
      <c r="AJ65" s="201"/>
      <c r="AK65" s="202"/>
      <c r="AL65" s="202"/>
      <c r="AM65" s="203"/>
      <c r="AN65" s="203"/>
    </row>
    <row r="66" spans="1:40">
      <c r="A66" s="526" t="s">
        <v>188</v>
      </c>
      <c r="B66" s="526"/>
      <c r="C66" s="526"/>
      <c r="D66" s="526"/>
      <c r="F66" s="531">
        <f>F49</f>
        <v>41.71</v>
      </c>
      <c r="G66" s="531"/>
      <c r="H66" s="526" t="s">
        <v>196</v>
      </c>
      <c r="I66" s="526"/>
      <c r="J66" s="531">
        <v>1</v>
      </c>
      <c r="K66" s="531"/>
      <c r="L66" s="526" t="s">
        <v>197</v>
      </c>
      <c r="M66" s="526"/>
      <c r="N66" s="532">
        <f>F66*J66</f>
        <v>41.71</v>
      </c>
      <c r="O66" s="532"/>
      <c r="P66" s="200" t="s">
        <v>148</v>
      </c>
      <c r="AJ66" s="201"/>
      <c r="AK66" s="202"/>
      <c r="AL66" s="202"/>
      <c r="AM66" s="203"/>
      <c r="AN66" s="203"/>
    </row>
    <row r="67" spans="1:40">
      <c r="A67" s="526" t="s">
        <v>189</v>
      </c>
      <c r="B67" s="526"/>
      <c r="C67" s="526"/>
      <c r="D67" s="526"/>
      <c r="F67" s="531">
        <f t="shared" ref="F67:F68" si="0">F50</f>
        <v>41.59</v>
      </c>
      <c r="G67" s="531"/>
      <c r="H67" s="526" t="s">
        <v>196</v>
      </c>
      <c r="I67" s="526"/>
      <c r="J67" s="531">
        <v>1</v>
      </c>
      <c r="K67" s="531"/>
      <c r="L67" s="526" t="s">
        <v>197</v>
      </c>
      <c r="M67" s="526"/>
      <c r="N67" s="532">
        <f>F67*J67</f>
        <v>41.59</v>
      </c>
      <c r="O67" s="532"/>
      <c r="P67" s="200" t="s">
        <v>148</v>
      </c>
      <c r="AJ67" s="201"/>
      <c r="AK67" s="202"/>
      <c r="AL67" s="202"/>
      <c r="AM67" s="203"/>
      <c r="AN67" s="203"/>
    </row>
    <row r="68" spans="1:40">
      <c r="A68" s="526" t="s">
        <v>190</v>
      </c>
      <c r="B68" s="526"/>
      <c r="C68" s="526"/>
      <c r="D68" s="526"/>
      <c r="F68" s="531">
        <f t="shared" si="0"/>
        <v>80</v>
      </c>
      <c r="G68" s="531"/>
      <c r="H68" s="526" t="s">
        <v>196</v>
      </c>
      <c r="I68" s="526"/>
      <c r="J68" s="531">
        <v>1</v>
      </c>
      <c r="K68" s="531"/>
      <c r="L68" s="526" t="s">
        <v>197</v>
      </c>
      <c r="M68" s="526"/>
      <c r="N68" s="532">
        <f>F68*J68</f>
        <v>80</v>
      </c>
      <c r="O68" s="532"/>
      <c r="P68" s="200" t="s">
        <v>148</v>
      </c>
      <c r="AJ68" s="201"/>
      <c r="AK68" s="202"/>
      <c r="AL68" s="202"/>
      <c r="AM68" s="203"/>
      <c r="AN68" s="203"/>
    </row>
    <row r="69" spans="1:40">
      <c r="A69" s="200" t="s">
        <v>185</v>
      </c>
      <c r="C69" s="531">
        <f>SUM(N66:O68)</f>
        <v>163.30000000000001</v>
      </c>
      <c r="D69" s="533"/>
      <c r="E69" s="526" t="s">
        <v>196</v>
      </c>
      <c r="F69" s="526"/>
      <c r="G69" s="532">
        <f>AL41</f>
        <v>1.05</v>
      </c>
      <c r="H69" s="533"/>
      <c r="I69" s="526" t="s">
        <v>198</v>
      </c>
      <c r="J69" s="526"/>
      <c r="K69" s="525">
        <f>C69*G69</f>
        <v>171.47</v>
      </c>
      <c r="L69" s="525"/>
      <c r="M69" s="200" t="s">
        <v>85</v>
      </c>
      <c r="N69" s="204"/>
      <c r="O69" s="204"/>
      <c r="AJ69" s="201"/>
      <c r="AK69" s="202"/>
      <c r="AL69" s="202"/>
      <c r="AM69" s="203"/>
      <c r="AN69" s="203"/>
    </row>
    <row r="70" spans="1:40">
      <c r="F70" s="216"/>
      <c r="G70" s="216"/>
      <c r="H70" s="215"/>
      <c r="I70" s="215"/>
      <c r="J70" s="216"/>
      <c r="K70" s="216"/>
      <c r="L70" s="215"/>
      <c r="M70" s="215"/>
      <c r="N70" s="204"/>
      <c r="O70" s="204"/>
      <c r="AJ70" s="201"/>
      <c r="AK70" s="202"/>
      <c r="AL70" s="202"/>
      <c r="AM70" s="203"/>
      <c r="AN70" s="203"/>
    </row>
    <row r="71" spans="1:40">
      <c r="A71" s="200" t="s">
        <v>199</v>
      </c>
      <c r="E71" s="205"/>
      <c r="F71" s="205"/>
      <c r="H71" s="216"/>
      <c r="I71" s="216"/>
      <c r="J71" s="215"/>
      <c r="K71" s="215"/>
      <c r="L71" s="216"/>
      <c r="M71" s="216"/>
      <c r="AJ71" s="201"/>
      <c r="AK71" s="202"/>
      <c r="AL71" s="202"/>
      <c r="AM71" s="203"/>
      <c r="AN71" s="203"/>
    </row>
    <row r="72" spans="1:40">
      <c r="A72" s="526" t="s">
        <v>200</v>
      </c>
      <c r="B72" s="526"/>
      <c r="C72" s="526"/>
      <c r="D72" s="526"/>
      <c r="F72" s="531">
        <f>C99</f>
        <v>33.33</v>
      </c>
      <c r="G72" s="531"/>
      <c r="H72" s="526" t="s">
        <v>85</v>
      </c>
      <c r="I72" s="526"/>
      <c r="J72" s="531"/>
      <c r="K72" s="531"/>
      <c r="L72" s="526"/>
      <c r="M72" s="526"/>
      <c r="N72" s="532"/>
      <c r="O72" s="532"/>
      <c r="AJ72" s="201"/>
      <c r="AK72" s="202"/>
      <c r="AL72" s="202"/>
      <c r="AM72" s="203"/>
      <c r="AN72" s="203"/>
    </row>
    <row r="73" spans="1:40">
      <c r="A73" s="200" t="s">
        <v>201</v>
      </c>
      <c r="F73" s="531">
        <v>8.5</v>
      </c>
      <c r="G73" s="531"/>
      <c r="H73" s="526" t="s">
        <v>196</v>
      </c>
      <c r="I73" s="526"/>
      <c r="J73" s="531">
        <v>4</v>
      </c>
      <c r="K73" s="531"/>
      <c r="L73" s="526" t="s">
        <v>202</v>
      </c>
      <c r="M73" s="526"/>
      <c r="N73" s="532">
        <f>G69</f>
        <v>1.05</v>
      </c>
      <c r="O73" s="532"/>
      <c r="P73" s="200" t="s">
        <v>203</v>
      </c>
      <c r="Q73" s="528">
        <f>F73*J73*N73</f>
        <v>35.700000000000003</v>
      </c>
      <c r="R73" s="528"/>
      <c r="S73" s="199" t="s">
        <v>85</v>
      </c>
      <c r="AJ73" s="201"/>
      <c r="AK73" s="202"/>
      <c r="AL73" s="202"/>
      <c r="AM73" s="203"/>
      <c r="AN73" s="203"/>
    </row>
    <row r="74" spans="1:40">
      <c r="A74" s="200" t="s">
        <v>204</v>
      </c>
      <c r="F74" s="531">
        <f>K69</f>
        <v>171.47</v>
      </c>
      <c r="G74" s="533"/>
      <c r="H74" s="526" t="s">
        <v>205</v>
      </c>
      <c r="I74" s="526"/>
      <c r="J74" s="531">
        <f>SUM(F72,Q73)</f>
        <v>69.03</v>
      </c>
      <c r="K74" s="533"/>
      <c r="L74" s="526" t="s">
        <v>206</v>
      </c>
      <c r="M74" s="526"/>
      <c r="N74" s="525">
        <f>F74-J74</f>
        <v>102.44</v>
      </c>
      <c r="O74" s="525"/>
      <c r="P74" s="200" t="s">
        <v>85</v>
      </c>
      <c r="AJ74" s="201"/>
      <c r="AK74" s="202"/>
      <c r="AL74" s="202"/>
      <c r="AM74" s="203"/>
      <c r="AN74" s="203"/>
    </row>
    <row r="75" spans="1:40">
      <c r="AJ75" s="201"/>
      <c r="AK75" s="202"/>
      <c r="AL75" s="202"/>
      <c r="AM75" s="203"/>
      <c r="AN75" s="203"/>
    </row>
    <row r="76" spans="1:40" ht="27" customHeight="1">
      <c r="A76" s="544" t="s">
        <v>429</v>
      </c>
      <c r="B76" s="544"/>
      <c r="C76" s="544"/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P76" s="544"/>
      <c r="Q76" s="544"/>
      <c r="R76" s="544"/>
      <c r="S76" s="544"/>
      <c r="T76" s="544"/>
      <c r="U76" s="544"/>
      <c r="V76" s="544"/>
      <c r="W76" s="544"/>
      <c r="X76" s="544"/>
      <c r="Y76" s="544"/>
      <c r="Z76" s="544"/>
      <c r="AA76" s="544"/>
      <c r="AB76" s="544"/>
      <c r="AC76" s="544"/>
      <c r="AD76" s="544"/>
      <c r="AE76" s="544"/>
      <c r="AF76" s="544"/>
      <c r="AG76" s="544"/>
      <c r="AH76" s="544"/>
      <c r="AI76" s="544"/>
      <c r="AJ76" s="201"/>
      <c r="AK76" s="202"/>
      <c r="AL76" s="202"/>
      <c r="AM76" s="203"/>
      <c r="AN76" s="203"/>
    </row>
    <row r="77" spans="1:40">
      <c r="A77" s="223"/>
      <c r="AJ77" s="201"/>
      <c r="AK77" s="202"/>
      <c r="AL77" s="202"/>
      <c r="AM77" s="203"/>
      <c r="AN77" s="203"/>
    </row>
    <row r="78" spans="1:40">
      <c r="A78" s="530" t="s">
        <v>207</v>
      </c>
      <c r="B78" s="530"/>
      <c r="C78" s="530"/>
      <c r="D78" s="530"/>
      <c r="E78" s="530"/>
      <c r="F78" s="530"/>
      <c r="G78" s="530"/>
      <c r="H78" s="530"/>
      <c r="I78" s="530"/>
      <c r="J78" s="530"/>
      <c r="K78" s="530"/>
      <c r="L78" s="530"/>
      <c r="M78" s="530"/>
      <c r="N78" s="530"/>
      <c r="O78" s="530"/>
      <c r="P78" s="530"/>
      <c r="Q78" s="530"/>
      <c r="R78" s="530"/>
      <c r="S78" s="530"/>
      <c r="T78" s="530"/>
      <c r="U78" s="530"/>
      <c r="V78" s="530"/>
      <c r="W78" s="530"/>
      <c r="X78" s="530"/>
      <c r="Y78" s="530"/>
      <c r="Z78" s="530"/>
      <c r="AA78" s="530"/>
      <c r="AB78" s="530"/>
      <c r="AC78" s="530"/>
      <c r="AD78" s="530"/>
      <c r="AE78" s="530"/>
      <c r="AF78" s="530"/>
      <c r="AG78" s="530"/>
      <c r="AH78" s="530"/>
      <c r="AI78" s="530"/>
      <c r="AJ78" s="201"/>
      <c r="AK78" s="202"/>
      <c r="AL78" s="202"/>
      <c r="AM78" s="203"/>
      <c r="AN78" s="203"/>
    </row>
    <row r="79" spans="1:40">
      <c r="AJ79" s="201"/>
      <c r="AK79" s="202"/>
      <c r="AL79" s="202"/>
      <c r="AM79" s="203"/>
      <c r="AN79" s="203"/>
    </row>
    <row r="80" spans="1:40">
      <c r="A80" s="200" t="s">
        <v>179</v>
      </c>
      <c r="B80" s="543">
        <v>4</v>
      </c>
      <c r="C80" s="543"/>
      <c r="D80" s="530" t="s">
        <v>102</v>
      </c>
      <c r="E80" s="530"/>
      <c r="AJ80" s="201"/>
      <c r="AK80" s="202"/>
      <c r="AL80" s="202"/>
      <c r="AM80" s="203"/>
      <c r="AN80" s="203"/>
    </row>
    <row r="81" spans="1:40">
      <c r="AJ81" s="201"/>
      <c r="AK81" s="202"/>
      <c r="AL81" s="202"/>
      <c r="AM81" s="203"/>
      <c r="AN81" s="203"/>
    </row>
    <row r="82" spans="1:40" ht="31.5" customHeight="1">
      <c r="A82" s="544" t="s">
        <v>425</v>
      </c>
      <c r="B82" s="544"/>
      <c r="C82" s="544"/>
      <c r="D82" s="544"/>
      <c r="E82" s="544"/>
      <c r="F82" s="544"/>
      <c r="G82" s="544"/>
      <c r="H82" s="544"/>
      <c r="I82" s="544"/>
      <c r="J82" s="544"/>
      <c r="K82" s="544"/>
      <c r="L82" s="544"/>
      <c r="M82" s="544"/>
      <c r="N82" s="544"/>
      <c r="O82" s="544"/>
      <c r="P82" s="544"/>
      <c r="Q82" s="544"/>
      <c r="R82" s="544"/>
      <c r="S82" s="544"/>
      <c r="T82" s="544"/>
      <c r="U82" s="544"/>
      <c r="V82" s="544"/>
      <c r="W82" s="544"/>
      <c r="X82" s="544"/>
      <c r="Y82" s="544"/>
      <c r="Z82" s="544"/>
      <c r="AA82" s="544"/>
      <c r="AB82" s="544"/>
      <c r="AC82" s="544"/>
      <c r="AD82" s="544"/>
      <c r="AE82" s="544"/>
      <c r="AF82" s="544"/>
      <c r="AG82" s="544"/>
      <c r="AH82" s="544"/>
      <c r="AI82" s="544"/>
      <c r="AJ82" s="201"/>
      <c r="AK82" s="202"/>
      <c r="AL82" s="202"/>
      <c r="AM82" s="203"/>
      <c r="AN82" s="218"/>
    </row>
    <row r="83" spans="1:40">
      <c r="AJ83" s="201"/>
      <c r="AK83" s="202"/>
      <c r="AL83" s="202"/>
      <c r="AM83" s="203"/>
      <c r="AN83" s="203"/>
    </row>
    <row r="84" spans="1:40">
      <c r="A84" s="200" t="s">
        <v>208</v>
      </c>
      <c r="AJ84" s="201"/>
      <c r="AK84" s="202"/>
      <c r="AL84" s="202"/>
      <c r="AM84" s="203"/>
      <c r="AN84" s="203"/>
    </row>
    <row r="85" spans="1:40">
      <c r="AJ85" s="201"/>
      <c r="AK85" s="202"/>
      <c r="AL85" s="202"/>
      <c r="AM85" s="203"/>
      <c r="AN85" s="203"/>
    </row>
    <row r="86" spans="1:40">
      <c r="A86" s="526" t="s">
        <v>188</v>
      </c>
      <c r="B86" s="526"/>
      <c r="C86" s="526"/>
      <c r="D86" s="526"/>
      <c r="F86" s="531">
        <f>F66</f>
        <v>41.71</v>
      </c>
      <c r="G86" s="531"/>
      <c r="H86" s="526" t="s">
        <v>196</v>
      </c>
      <c r="I86" s="526"/>
      <c r="J86" s="531">
        <v>1</v>
      </c>
      <c r="K86" s="531"/>
      <c r="L86" s="526" t="s">
        <v>197</v>
      </c>
      <c r="M86" s="526"/>
      <c r="N86" s="532">
        <f>F86*J86</f>
        <v>41.71</v>
      </c>
      <c r="O86" s="532"/>
      <c r="P86" s="200" t="s">
        <v>148</v>
      </c>
      <c r="AJ86" s="201"/>
      <c r="AK86" s="202"/>
      <c r="AL86" s="202"/>
      <c r="AM86" s="203"/>
      <c r="AN86" s="203"/>
    </row>
    <row r="87" spans="1:40">
      <c r="A87" s="526" t="s">
        <v>189</v>
      </c>
      <c r="B87" s="526"/>
      <c r="C87" s="526"/>
      <c r="D87" s="526"/>
      <c r="F87" s="531">
        <f>F67</f>
        <v>41.59</v>
      </c>
      <c r="G87" s="531"/>
      <c r="H87" s="526" t="s">
        <v>196</v>
      </c>
      <c r="I87" s="526"/>
      <c r="J87" s="531">
        <v>1</v>
      </c>
      <c r="K87" s="531"/>
      <c r="L87" s="526" t="s">
        <v>197</v>
      </c>
      <c r="M87" s="526"/>
      <c r="N87" s="532">
        <f>F87*J87</f>
        <v>41.59</v>
      </c>
      <c r="O87" s="532"/>
      <c r="P87" s="200" t="s">
        <v>148</v>
      </c>
      <c r="AJ87" s="201"/>
      <c r="AK87" s="202"/>
      <c r="AL87" s="202"/>
      <c r="AM87" s="203"/>
      <c r="AN87" s="203"/>
    </row>
    <row r="88" spans="1:40">
      <c r="A88" s="526" t="s">
        <v>190</v>
      </c>
      <c r="B88" s="526"/>
      <c r="C88" s="526"/>
      <c r="D88" s="526"/>
      <c r="F88" s="531">
        <f>F68</f>
        <v>80</v>
      </c>
      <c r="G88" s="531"/>
      <c r="H88" s="526" t="s">
        <v>196</v>
      </c>
      <c r="I88" s="526"/>
      <c r="J88" s="531">
        <v>1</v>
      </c>
      <c r="K88" s="531"/>
      <c r="L88" s="526" t="s">
        <v>197</v>
      </c>
      <c r="M88" s="526"/>
      <c r="N88" s="532">
        <f>F88*J88</f>
        <v>80</v>
      </c>
      <c r="O88" s="532"/>
      <c r="P88" s="200" t="s">
        <v>148</v>
      </c>
      <c r="AJ88" s="201"/>
      <c r="AK88" s="202"/>
      <c r="AL88" s="202"/>
      <c r="AM88" s="203"/>
      <c r="AN88" s="203"/>
    </row>
    <row r="89" spans="1:40">
      <c r="A89" s="215"/>
      <c r="B89" s="215"/>
      <c r="C89" s="215"/>
      <c r="D89" s="215"/>
      <c r="F89" s="216"/>
      <c r="G89" s="216"/>
      <c r="H89" s="215"/>
      <c r="I89" s="215"/>
      <c r="J89" s="216"/>
      <c r="K89" s="216"/>
      <c r="L89" s="215"/>
      <c r="M89" s="215"/>
      <c r="N89" s="204"/>
      <c r="O89" s="204"/>
      <c r="AJ89" s="201"/>
      <c r="AK89" s="202"/>
      <c r="AL89" s="202"/>
      <c r="AM89" s="203"/>
      <c r="AN89" s="203"/>
    </row>
    <row r="90" spans="1:40">
      <c r="A90" s="200" t="s">
        <v>199</v>
      </c>
      <c r="E90" s="205"/>
      <c r="F90" s="205"/>
      <c r="H90" s="216"/>
      <c r="I90" s="216"/>
      <c r="J90" s="215"/>
      <c r="K90" s="215"/>
      <c r="L90" s="216"/>
      <c r="M90" s="216"/>
      <c r="AJ90" s="201"/>
      <c r="AK90" s="202"/>
      <c r="AL90" s="202"/>
      <c r="AM90" s="203"/>
      <c r="AN90" s="203"/>
    </row>
    <row r="91" spans="1:40">
      <c r="A91" s="526" t="s">
        <v>201</v>
      </c>
      <c r="B91" s="526"/>
      <c r="C91" s="526"/>
      <c r="D91" s="526"/>
      <c r="F91" s="531">
        <v>8.5</v>
      </c>
      <c r="G91" s="531"/>
      <c r="H91" s="526" t="s">
        <v>196</v>
      </c>
      <c r="I91" s="526"/>
      <c r="J91" s="531">
        <f>B80</f>
        <v>4</v>
      </c>
      <c r="K91" s="531"/>
      <c r="L91" s="526" t="s">
        <v>197</v>
      </c>
      <c r="M91" s="526"/>
      <c r="N91" s="532">
        <f>F91*J91</f>
        <v>34</v>
      </c>
      <c r="O91" s="532"/>
      <c r="P91" s="200" t="s">
        <v>148</v>
      </c>
      <c r="AJ91" s="201"/>
      <c r="AK91" s="202"/>
      <c r="AL91" s="202"/>
      <c r="AM91" s="203"/>
      <c r="AN91" s="203"/>
    </row>
    <row r="92" spans="1:40">
      <c r="A92" s="526" t="s">
        <v>209</v>
      </c>
      <c r="B92" s="526"/>
      <c r="C92" s="526"/>
      <c r="D92" s="526"/>
      <c r="F92" s="531">
        <v>0.5</v>
      </c>
      <c r="G92" s="531"/>
      <c r="H92" s="526" t="s">
        <v>196</v>
      </c>
      <c r="I92" s="526"/>
      <c r="J92" s="531">
        <v>8</v>
      </c>
      <c r="K92" s="531"/>
      <c r="L92" s="526" t="s">
        <v>197</v>
      </c>
      <c r="M92" s="526"/>
      <c r="N92" s="532">
        <f>F92*J92</f>
        <v>4</v>
      </c>
      <c r="O92" s="532"/>
      <c r="P92" s="200" t="s">
        <v>148</v>
      </c>
      <c r="T92" s="199"/>
      <c r="U92" s="199"/>
      <c r="AJ92" s="201"/>
      <c r="AK92" s="202"/>
      <c r="AL92" s="202"/>
      <c r="AM92" s="203"/>
      <c r="AN92" s="203"/>
    </row>
    <row r="93" spans="1:40">
      <c r="A93" s="200" t="s">
        <v>210</v>
      </c>
      <c r="F93" s="531">
        <f>SUM(N86:O88)-SUM(N91:O92)</f>
        <v>125.3</v>
      </c>
      <c r="G93" s="533"/>
      <c r="H93" s="200" t="s">
        <v>211</v>
      </c>
      <c r="I93" s="533">
        <v>0.25</v>
      </c>
      <c r="J93" s="533"/>
      <c r="K93" s="200" t="s">
        <v>212</v>
      </c>
      <c r="L93" s="525">
        <f>F93*I93</f>
        <v>31.33</v>
      </c>
      <c r="M93" s="528"/>
      <c r="N93" s="199" t="s">
        <v>85</v>
      </c>
      <c r="AJ93" s="201"/>
      <c r="AK93" s="202"/>
      <c r="AL93" s="202"/>
      <c r="AM93" s="203"/>
      <c r="AN93" s="203"/>
    </row>
    <row r="94" spans="1:40">
      <c r="AJ94" s="201"/>
      <c r="AK94" s="202"/>
      <c r="AL94" s="202"/>
      <c r="AM94" s="203"/>
      <c r="AN94" s="203"/>
    </row>
    <row r="95" spans="1:40">
      <c r="A95" s="200" t="s">
        <v>213</v>
      </c>
      <c r="AJ95" s="201"/>
      <c r="AK95" s="202"/>
      <c r="AL95" s="202"/>
      <c r="AM95" s="203"/>
      <c r="AN95" s="203"/>
    </row>
    <row r="96" spans="1:40">
      <c r="E96" s="533"/>
      <c r="F96" s="533"/>
      <c r="H96" s="527"/>
      <c r="I96" s="527"/>
      <c r="J96" s="526"/>
      <c r="K96" s="526"/>
      <c r="L96" s="531"/>
      <c r="M96" s="531"/>
      <c r="AJ96" s="201"/>
      <c r="AK96" s="202"/>
      <c r="AL96" s="202"/>
      <c r="AM96" s="203"/>
      <c r="AN96" s="203"/>
    </row>
    <row r="97" spans="1:40">
      <c r="A97" s="526" t="s">
        <v>209</v>
      </c>
      <c r="B97" s="526"/>
      <c r="C97" s="526"/>
      <c r="D97" s="526"/>
      <c r="F97" s="531">
        <v>0.25</v>
      </c>
      <c r="G97" s="531"/>
      <c r="H97" s="526" t="s">
        <v>214</v>
      </c>
      <c r="I97" s="526"/>
      <c r="J97" s="531">
        <f>J92</f>
        <v>8</v>
      </c>
      <c r="K97" s="531"/>
      <c r="L97" s="526" t="s">
        <v>197</v>
      </c>
      <c r="M97" s="526"/>
      <c r="N97" s="532">
        <f>F97*J97</f>
        <v>2</v>
      </c>
      <c r="O97" s="532"/>
      <c r="P97" s="200" t="s">
        <v>85</v>
      </c>
      <c r="AJ97" s="201"/>
      <c r="AK97" s="202"/>
      <c r="AL97" s="202"/>
      <c r="AM97" s="203"/>
      <c r="AN97" s="203"/>
    </row>
    <row r="98" spans="1:40">
      <c r="E98" s="205"/>
      <c r="F98" s="205"/>
      <c r="H98" s="219"/>
      <c r="I98" s="219"/>
      <c r="J98" s="215"/>
      <c r="K98" s="215"/>
      <c r="L98" s="214"/>
      <c r="M98" s="214"/>
      <c r="AJ98" s="201"/>
      <c r="AK98" s="202"/>
      <c r="AL98" s="202"/>
      <c r="AM98" s="203"/>
      <c r="AN98" s="203"/>
    </row>
    <row r="99" spans="1:40">
      <c r="A99" s="200" t="s">
        <v>191</v>
      </c>
      <c r="C99" s="527">
        <f>L93+N97</f>
        <v>33.33</v>
      </c>
      <c r="D99" s="527"/>
      <c r="E99" s="205" t="s">
        <v>85</v>
      </c>
      <c r="F99" s="205"/>
      <c r="H99" s="219"/>
      <c r="I99" s="219"/>
      <c r="J99" s="215"/>
      <c r="K99" s="215"/>
      <c r="L99" s="214"/>
      <c r="M99" s="214"/>
      <c r="AJ99" s="201"/>
      <c r="AK99" s="202"/>
      <c r="AL99" s="202"/>
      <c r="AM99" s="203"/>
      <c r="AN99" s="203"/>
    </row>
    <row r="100" spans="1:40">
      <c r="AJ100" s="201"/>
      <c r="AK100" s="202"/>
      <c r="AL100" s="202"/>
      <c r="AM100" s="203"/>
      <c r="AN100" s="203"/>
    </row>
    <row r="101" spans="1:40" ht="15">
      <c r="A101" s="542" t="s">
        <v>426</v>
      </c>
      <c r="B101" s="542"/>
      <c r="C101" s="542"/>
      <c r="D101" s="542"/>
      <c r="E101" s="542"/>
      <c r="F101" s="542"/>
      <c r="G101" s="542"/>
      <c r="H101" s="542"/>
      <c r="I101" s="542"/>
      <c r="J101" s="542"/>
      <c r="K101" s="542"/>
      <c r="L101" s="542"/>
      <c r="M101" s="542"/>
      <c r="N101" s="542"/>
      <c r="O101" s="542"/>
      <c r="P101" s="542"/>
      <c r="Q101" s="542"/>
      <c r="R101" s="542"/>
      <c r="S101" s="542"/>
      <c r="T101" s="542"/>
      <c r="U101" s="542"/>
      <c r="V101" s="542"/>
      <c r="W101" s="542"/>
      <c r="X101" s="542"/>
      <c r="Y101" s="542"/>
      <c r="Z101" s="542"/>
      <c r="AA101" s="542"/>
      <c r="AB101" s="542"/>
      <c r="AC101" s="542"/>
      <c r="AD101" s="542"/>
      <c r="AE101" s="542"/>
      <c r="AF101" s="542"/>
      <c r="AG101" s="542"/>
      <c r="AH101" s="542"/>
      <c r="AI101" s="542"/>
      <c r="AJ101" s="201"/>
      <c r="AK101" s="202"/>
      <c r="AL101" s="202"/>
      <c r="AM101" s="203"/>
      <c r="AN101" s="203"/>
    </row>
    <row r="102" spans="1:40">
      <c r="AJ102" s="201"/>
      <c r="AK102" s="202"/>
      <c r="AL102" s="202"/>
      <c r="AM102" s="203"/>
      <c r="AN102" s="203"/>
    </row>
    <row r="103" spans="1:40">
      <c r="A103" s="530" t="s">
        <v>215</v>
      </c>
      <c r="B103" s="530"/>
      <c r="C103" s="530"/>
      <c r="D103" s="530"/>
      <c r="E103" s="530"/>
      <c r="F103" s="530"/>
      <c r="G103" s="530"/>
      <c r="H103" s="530"/>
      <c r="I103" s="530"/>
      <c r="J103" s="530"/>
      <c r="K103" s="530"/>
      <c r="L103" s="530"/>
      <c r="M103" s="530"/>
      <c r="N103" s="530"/>
      <c r="O103" s="530"/>
      <c r="P103" s="530"/>
      <c r="Q103" s="530"/>
      <c r="R103" s="530"/>
      <c r="S103" s="530"/>
      <c r="T103" s="530"/>
      <c r="U103" s="530"/>
      <c r="V103" s="530"/>
      <c r="W103" s="530"/>
      <c r="X103" s="530"/>
      <c r="Y103" s="530"/>
      <c r="Z103" s="530"/>
      <c r="AA103" s="530"/>
      <c r="AB103" s="530"/>
      <c r="AC103" s="530"/>
      <c r="AD103" s="530"/>
      <c r="AE103" s="530"/>
      <c r="AF103" s="530"/>
      <c r="AG103" s="530"/>
      <c r="AH103" s="530"/>
      <c r="AI103" s="530"/>
      <c r="AJ103" s="201"/>
      <c r="AK103" s="202"/>
      <c r="AL103" s="202"/>
      <c r="AM103" s="203"/>
      <c r="AN103" s="203"/>
    </row>
    <row r="104" spans="1:40">
      <c r="AJ104" s="201"/>
      <c r="AK104" s="202"/>
      <c r="AL104" s="202"/>
      <c r="AM104" s="203"/>
      <c r="AN104" s="203"/>
    </row>
    <row r="105" spans="1:40">
      <c r="A105" s="200" t="s">
        <v>174</v>
      </c>
      <c r="C105" s="525">
        <f>F53</f>
        <v>163.30000000000001</v>
      </c>
      <c r="D105" s="525"/>
      <c r="E105" s="198" t="s">
        <v>175</v>
      </c>
      <c r="F105" s="200" t="s">
        <v>216</v>
      </c>
      <c r="G105" s="528">
        <v>0.15</v>
      </c>
      <c r="H105" s="528"/>
      <c r="I105" s="198" t="s">
        <v>217</v>
      </c>
      <c r="J105" s="525">
        <v>0.15</v>
      </c>
      <c r="K105" s="525"/>
      <c r="L105" s="214" t="s">
        <v>218</v>
      </c>
      <c r="N105" s="200"/>
      <c r="O105" s="200"/>
      <c r="Q105" s="543"/>
      <c r="R105" s="543"/>
      <c r="AJ105" s="201"/>
      <c r="AK105" s="202"/>
      <c r="AL105" s="202"/>
      <c r="AM105" s="203"/>
      <c r="AN105" s="203"/>
    </row>
    <row r="106" spans="1:40">
      <c r="A106" s="200" t="s">
        <v>174</v>
      </c>
      <c r="B106" s="543">
        <f>C105*(G105+J105)</f>
        <v>48.99</v>
      </c>
      <c r="C106" s="543"/>
      <c r="D106" s="543"/>
      <c r="E106" s="200" t="s">
        <v>85</v>
      </c>
      <c r="AJ106" s="201"/>
      <c r="AK106" s="202"/>
      <c r="AL106" s="202"/>
      <c r="AM106" s="203"/>
      <c r="AN106" s="203"/>
    </row>
    <row r="107" spans="1:40">
      <c r="AJ107" s="201"/>
      <c r="AK107" s="202"/>
      <c r="AL107" s="202"/>
      <c r="AM107" s="203"/>
      <c r="AN107" s="203"/>
    </row>
    <row r="108" spans="1:40" s="223" customFormat="1" ht="15" hidden="1" customHeight="1">
      <c r="A108" s="544" t="s">
        <v>427</v>
      </c>
      <c r="B108" s="544"/>
      <c r="C108" s="544"/>
      <c r="D108" s="544"/>
      <c r="E108" s="544"/>
      <c r="F108" s="544"/>
      <c r="G108" s="544"/>
      <c r="H108" s="544"/>
      <c r="I108" s="544"/>
      <c r="J108" s="544"/>
      <c r="K108" s="544"/>
      <c r="L108" s="544"/>
      <c r="M108" s="544"/>
      <c r="N108" s="544"/>
      <c r="O108" s="544"/>
      <c r="P108" s="544"/>
      <c r="Q108" s="544"/>
      <c r="R108" s="544"/>
      <c r="S108" s="544"/>
      <c r="T108" s="544"/>
      <c r="U108" s="544"/>
      <c r="V108" s="544"/>
      <c r="W108" s="544"/>
      <c r="X108" s="544"/>
      <c r="Y108" s="544"/>
      <c r="Z108" s="544"/>
      <c r="AA108" s="544"/>
      <c r="AB108" s="544"/>
      <c r="AC108" s="544"/>
      <c r="AD108" s="544"/>
      <c r="AE108" s="544"/>
      <c r="AF108" s="544"/>
      <c r="AG108" s="544"/>
      <c r="AH108" s="544"/>
      <c r="AI108" s="544"/>
      <c r="AJ108" s="220"/>
      <c r="AK108" s="221"/>
      <c r="AL108" s="221"/>
      <c r="AM108" s="222"/>
      <c r="AN108" s="222"/>
    </row>
    <row r="109" spans="1:40" hidden="1">
      <c r="AM109" s="203"/>
      <c r="AN109" s="203"/>
    </row>
    <row r="110" spans="1:40" ht="14.25" hidden="1" customHeight="1">
      <c r="A110" s="538" t="s">
        <v>490</v>
      </c>
      <c r="B110" s="538"/>
      <c r="C110" s="538"/>
      <c r="D110" s="538"/>
      <c r="E110" s="538"/>
      <c r="F110" s="538"/>
      <c r="G110" s="538"/>
      <c r="H110" s="538"/>
      <c r="I110" s="538"/>
      <c r="J110" s="538"/>
      <c r="K110" s="538"/>
      <c r="L110" s="538"/>
      <c r="M110" s="538"/>
      <c r="N110" s="538"/>
      <c r="O110" s="538"/>
      <c r="P110" s="538"/>
      <c r="Q110" s="538"/>
      <c r="R110" s="538"/>
      <c r="S110" s="538"/>
      <c r="T110" s="538"/>
      <c r="U110" s="538"/>
      <c r="V110" s="538"/>
      <c r="W110" s="538"/>
      <c r="X110" s="538"/>
      <c r="Y110" s="538"/>
      <c r="Z110" s="538"/>
      <c r="AA110" s="538"/>
      <c r="AB110" s="538"/>
      <c r="AC110" s="538"/>
      <c r="AD110" s="538"/>
      <c r="AE110" s="538"/>
      <c r="AF110" s="538"/>
      <c r="AG110" s="538"/>
      <c r="AH110" s="538"/>
      <c r="AI110" s="538"/>
      <c r="AM110" s="203"/>
      <c r="AN110" s="203"/>
    </row>
    <row r="111" spans="1:40" hidden="1">
      <c r="A111" s="538"/>
      <c r="B111" s="538"/>
      <c r="C111" s="538"/>
      <c r="D111" s="538"/>
      <c r="E111" s="538"/>
      <c r="F111" s="538"/>
      <c r="G111" s="538"/>
      <c r="H111" s="538"/>
      <c r="I111" s="538"/>
      <c r="J111" s="538"/>
      <c r="K111" s="538"/>
      <c r="L111" s="538"/>
      <c r="M111" s="538"/>
      <c r="N111" s="538"/>
      <c r="O111" s="538"/>
      <c r="P111" s="538"/>
      <c r="Q111" s="538"/>
      <c r="R111" s="538"/>
      <c r="S111" s="538"/>
      <c r="T111" s="538"/>
      <c r="U111" s="538"/>
      <c r="V111" s="538"/>
      <c r="W111" s="538"/>
      <c r="X111" s="538"/>
      <c r="Y111" s="538"/>
      <c r="Z111" s="538"/>
      <c r="AA111" s="538"/>
      <c r="AB111" s="538"/>
      <c r="AC111" s="538"/>
      <c r="AD111" s="538"/>
      <c r="AE111" s="538"/>
      <c r="AF111" s="538"/>
      <c r="AG111" s="538"/>
      <c r="AH111" s="538"/>
      <c r="AI111" s="538"/>
      <c r="AM111" s="203"/>
      <c r="AN111" s="203"/>
    </row>
    <row r="112" spans="1:40" hidden="1">
      <c r="AJ112" s="525" t="s">
        <v>220</v>
      </c>
      <c r="AK112" s="525"/>
      <c r="AL112" s="199" t="s">
        <v>221</v>
      </c>
      <c r="AM112" s="203"/>
      <c r="AN112" s="203"/>
    </row>
    <row r="113" spans="1:73" hidden="1">
      <c r="B113" s="200" t="s">
        <v>222</v>
      </c>
      <c r="AK113" s="198"/>
      <c r="AM113" s="203"/>
      <c r="AN113" s="203"/>
    </row>
    <row r="114" spans="1:73" hidden="1">
      <c r="A114" s="200" t="s">
        <v>174</v>
      </c>
      <c r="B114" s="527">
        <f>AJ115</f>
        <v>0</v>
      </c>
      <c r="C114" s="527"/>
      <c r="D114" s="200" t="s">
        <v>102</v>
      </c>
      <c r="F114" s="200" t="s">
        <v>175</v>
      </c>
      <c r="G114" s="525">
        <f>AL115</f>
        <v>0.28000000000000003</v>
      </c>
      <c r="H114" s="525"/>
      <c r="I114" s="200" t="s">
        <v>223</v>
      </c>
      <c r="AK114" s="198"/>
      <c r="AM114" s="203"/>
      <c r="AN114" s="203"/>
    </row>
    <row r="115" spans="1:73" hidden="1">
      <c r="A115" s="200" t="s">
        <v>224</v>
      </c>
      <c r="B115" s="543">
        <f>B114*G114</f>
        <v>0</v>
      </c>
      <c r="C115" s="543"/>
      <c r="D115" s="530" t="s">
        <v>85</v>
      </c>
      <c r="E115" s="530"/>
      <c r="AJ115" s="198">
        <v>0</v>
      </c>
      <c r="AL115" s="199">
        <f>PI()*0.3^2</f>
        <v>0.28000000000000003</v>
      </c>
      <c r="AM115" s="203"/>
      <c r="AN115" s="203"/>
    </row>
    <row r="116" spans="1:73" hidden="1"/>
    <row r="117" spans="1:73" hidden="1">
      <c r="B117" s="200" t="s">
        <v>225</v>
      </c>
      <c r="AK117" s="198"/>
      <c r="AM117" s="203"/>
      <c r="AN117" s="203"/>
    </row>
    <row r="118" spans="1:73" hidden="1">
      <c r="A118" s="200" t="s">
        <v>174</v>
      </c>
      <c r="B118" s="527">
        <f>AJ119</f>
        <v>0</v>
      </c>
      <c r="C118" s="527"/>
      <c r="D118" s="200" t="s">
        <v>102</v>
      </c>
      <c r="F118" s="200" t="s">
        <v>175</v>
      </c>
      <c r="G118" s="525">
        <f>AL119</f>
        <v>0.2</v>
      </c>
      <c r="H118" s="525"/>
      <c r="I118" s="200" t="s">
        <v>223</v>
      </c>
      <c r="AJ118" s="525" t="s">
        <v>226</v>
      </c>
      <c r="AK118" s="525"/>
      <c r="AM118" s="203"/>
      <c r="AN118" s="203"/>
    </row>
    <row r="119" spans="1:73" hidden="1">
      <c r="A119" s="200" t="s">
        <v>224</v>
      </c>
      <c r="B119" s="543">
        <f>B118*G118</f>
        <v>0</v>
      </c>
      <c r="C119" s="543"/>
      <c r="D119" s="530" t="s">
        <v>85</v>
      </c>
      <c r="E119" s="530"/>
      <c r="AL119" s="199">
        <f>PI()*0.25^2</f>
        <v>0.2</v>
      </c>
      <c r="AM119" s="203"/>
      <c r="AN119" s="203"/>
    </row>
    <row r="120" spans="1:73" hidden="1"/>
    <row r="121" spans="1:73" hidden="1">
      <c r="A121" s="200" t="s">
        <v>185</v>
      </c>
      <c r="C121" s="525">
        <f>B115+B119</f>
        <v>0</v>
      </c>
      <c r="D121" s="528"/>
      <c r="E121" s="200" t="s">
        <v>85</v>
      </c>
    </row>
    <row r="122" spans="1:73" hidden="1"/>
    <row r="123" spans="1:73" ht="15">
      <c r="A123" s="539" t="s">
        <v>227</v>
      </c>
      <c r="B123" s="540"/>
      <c r="C123" s="540"/>
      <c r="D123" s="540"/>
      <c r="E123" s="540"/>
      <c r="F123" s="540"/>
      <c r="G123" s="540"/>
      <c r="H123" s="540"/>
      <c r="I123" s="540"/>
      <c r="J123" s="540"/>
      <c r="K123" s="540"/>
      <c r="L123" s="540"/>
      <c r="M123" s="540"/>
      <c r="N123" s="540"/>
      <c r="O123" s="540"/>
      <c r="P123" s="540"/>
      <c r="Q123" s="540"/>
      <c r="R123" s="540"/>
      <c r="S123" s="540"/>
      <c r="T123" s="540"/>
      <c r="U123" s="540"/>
      <c r="V123" s="540"/>
      <c r="W123" s="540"/>
      <c r="X123" s="540"/>
      <c r="Y123" s="540"/>
      <c r="Z123" s="540"/>
      <c r="AA123" s="540"/>
      <c r="AB123" s="540"/>
      <c r="AC123" s="540"/>
      <c r="AD123" s="540"/>
      <c r="AE123" s="540"/>
      <c r="AF123" s="540"/>
      <c r="AG123" s="540"/>
      <c r="AH123" s="540"/>
      <c r="AI123" s="541"/>
      <c r="AJ123" s="200"/>
      <c r="AK123" s="200"/>
      <c r="AL123" s="200"/>
      <c r="AW123" s="199"/>
      <c r="AX123" s="199"/>
      <c r="BB123" s="199"/>
      <c r="BS123" s="198"/>
      <c r="BT123" s="199"/>
      <c r="BU123" s="199"/>
    </row>
    <row r="124" spans="1:73" s="197" customFormat="1"/>
    <row r="125" spans="1:73" ht="15">
      <c r="A125" s="542" t="s">
        <v>228</v>
      </c>
      <c r="B125" s="542"/>
      <c r="C125" s="542"/>
      <c r="D125" s="542"/>
      <c r="E125" s="542"/>
      <c r="F125" s="542"/>
      <c r="G125" s="542"/>
      <c r="H125" s="542"/>
      <c r="I125" s="542"/>
      <c r="J125" s="542"/>
      <c r="K125" s="542"/>
      <c r="L125" s="542"/>
      <c r="M125" s="542"/>
      <c r="N125" s="542"/>
      <c r="O125" s="542"/>
      <c r="P125" s="542"/>
      <c r="Q125" s="542"/>
      <c r="R125" s="542"/>
      <c r="S125" s="542"/>
      <c r="T125" s="542"/>
      <c r="U125" s="542"/>
      <c r="V125" s="542"/>
      <c r="W125" s="542"/>
      <c r="X125" s="542"/>
      <c r="Y125" s="542"/>
      <c r="Z125" s="542"/>
      <c r="AA125" s="542"/>
      <c r="AB125" s="542"/>
      <c r="AC125" s="542"/>
      <c r="AD125" s="542"/>
      <c r="AE125" s="542"/>
      <c r="AF125" s="542"/>
      <c r="AG125" s="542"/>
      <c r="AH125" s="542"/>
      <c r="AI125" s="542"/>
    </row>
    <row r="127" spans="1:73">
      <c r="A127" s="530" t="s">
        <v>229</v>
      </c>
      <c r="B127" s="530"/>
      <c r="C127" s="530"/>
      <c r="D127" s="530"/>
      <c r="E127" s="530"/>
      <c r="F127" s="530"/>
      <c r="G127" s="530"/>
      <c r="H127" s="530"/>
      <c r="I127" s="530"/>
      <c r="J127" s="530"/>
      <c r="K127" s="530"/>
      <c r="L127" s="530"/>
      <c r="M127" s="530"/>
      <c r="N127" s="530"/>
      <c r="O127" s="530"/>
      <c r="P127" s="530"/>
      <c r="Q127" s="530"/>
      <c r="R127" s="530"/>
      <c r="S127" s="530"/>
      <c r="T127" s="530"/>
      <c r="U127" s="530"/>
      <c r="V127" s="530"/>
      <c r="W127" s="530"/>
      <c r="X127" s="530"/>
      <c r="Y127" s="530"/>
      <c r="Z127" s="530"/>
      <c r="AA127" s="530"/>
      <c r="AB127" s="530"/>
      <c r="AC127" s="530"/>
      <c r="AD127" s="530"/>
      <c r="AE127" s="530"/>
      <c r="AF127" s="530"/>
      <c r="AG127" s="530"/>
      <c r="AH127" s="530"/>
      <c r="AI127" s="530"/>
    </row>
    <row r="129" spans="1:5">
      <c r="A129" s="200" t="s">
        <v>230</v>
      </c>
      <c r="B129" s="543">
        <f>C43</f>
        <v>517.92999999999995</v>
      </c>
      <c r="C129" s="530"/>
      <c r="D129" s="530"/>
      <c r="E129" s="200" t="s">
        <v>85</v>
      </c>
    </row>
  </sheetData>
  <mergeCells count="162">
    <mergeCell ref="E17:F17"/>
    <mergeCell ref="E34:F34"/>
    <mergeCell ref="E42:F42"/>
    <mergeCell ref="C121:D121"/>
    <mergeCell ref="A123:AI123"/>
    <mergeCell ref="A125:AI125"/>
    <mergeCell ref="A127:AI127"/>
    <mergeCell ref="B129:D129"/>
    <mergeCell ref="B115:C115"/>
    <mergeCell ref="D115:E115"/>
    <mergeCell ref="B118:C118"/>
    <mergeCell ref="G118:H118"/>
    <mergeCell ref="F88:G88"/>
    <mergeCell ref="H88:I88"/>
    <mergeCell ref="J88:K88"/>
    <mergeCell ref="L88:M88"/>
    <mergeCell ref="N88:O88"/>
    <mergeCell ref="C105:D105"/>
    <mergeCell ref="G105:H105"/>
    <mergeCell ref="J105:K105"/>
    <mergeCell ref="Q105:R105"/>
    <mergeCell ref="A97:D97"/>
    <mergeCell ref="F97:G97"/>
    <mergeCell ref="H97:I97"/>
    <mergeCell ref="AJ118:AK118"/>
    <mergeCell ref="B119:C119"/>
    <mergeCell ref="D119:E119"/>
    <mergeCell ref="B106:D106"/>
    <mergeCell ref="A108:AI108"/>
    <mergeCell ref="A110:AI111"/>
    <mergeCell ref="AJ112:AK112"/>
    <mergeCell ref="B114:C114"/>
    <mergeCell ref="G114:H114"/>
    <mergeCell ref="J97:K97"/>
    <mergeCell ref="L97:M97"/>
    <mergeCell ref="N97:O97"/>
    <mergeCell ref="N92:O92"/>
    <mergeCell ref="C99:D99"/>
    <mergeCell ref="A101:AI101"/>
    <mergeCell ref="A103:AI103"/>
    <mergeCell ref="F93:G93"/>
    <mergeCell ref="I93:J93"/>
    <mergeCell ref="L93:M93"/>
    <mergeCell ref="E96:F96"/>
    <mergeCell ref="H96:I96"/>
    <mergeCell ref="J96:K96"/>
    <mergeCell ref="L96:M96"/>
    <mergeCell ref="A92:D92"/>
    <mergeCell ref="F92:G92"/>
    <mergeCell ref="H92:I92"/>
    <mergeCell ref="J92:K92"/>
    <mergeCell ref="L92:M92"/>
    <mergeCell ref="B80:C80"/>
    <mergeCell ref="D80:E80"/>
    <mergeCell ref="A82:AI82"/>
    <mergeCell ref="A86:D86"/>
    <mergeCell ref="F86:G86"/>
    <mergeCell ref="H86:I86"/>
    <mergeCell ref="J86:K86"/>
    <mergeCell ref="L86:M86"/>
    <mergeCell ref="A91:D91"/>
    <mergeCell ref="F91:G91"/>
    <mergeCell ref="H91:I91"/>
    <mergeCell ref="J91:K91"/>
    <mergeCell ref="L91:M91"/>
    <mergeCell ref="N91:O91"/>
    <mergeCell ref="N86:O86"/>
    <mergeCell ref="A87:D87"/>
    <mergeCell ref="F87:G87"/>
    <mergeCell ref="H87:I87"/>
    <mergeCell ref="J87:K87"/>
    <mergeCell ref="L87:M87"/>
    <mergeCell ref="N87:O87"/>
    <mergeCell ref="A88:D88"/>
    <mergeCell ref="AJ57:AK57"/>
    <mergeCell ref="A47:AI47"/>
    <mergeCell ref="A49:D49"/>
    <mergeCell ref="F49:G49"/>
    <mergeCell ref="A51:D51"/>
    <mergeCell ref="F51:G51"/>
    <mergeCell ref="A67:D67"/>
    <mergeCell ref="F67:G67"/>
    <mergeCell ref="H67:I67"/>
    <mergeCell ref="J67:K67"/>
    <mergeCell ref="L67:M67"/>
    <mergeCell ref="N67:O67"/>
    <mergeCell ref="A62:AI62"/>
    <mergeCell ref="A64:AI64"/>
    <mergeCell ref="A66:D66"/>
    <mergeCell ref="F66:G66"/>
    <mergeCell ref="H66:I66"/>
    <mergeCell ref="J66:K66"/>
    <mergeCell ref="L66:M66"/>
    <mergeCell ref="N66:O66"/>
    <mergeCell ref="A23:AI23"/>
    <mergeCell ref="B25:C25"/>
    <mergeCell ref="A27:AI27"/>
    <mergeCell ref="A37:AI37"/>
    <mergeCell ref="A39:AI39"/>
    <mergeCell ref="B59:D59"/>
    <mergeCell ref="G59:H59"/>
    <mergeCell ref="B60:D60"/>
    <mergeCell ref="F53:G53"/>
    <mergeCell ref="A55:AI55"/>
    <mergeCell ref="A57:AI57"/>
    <mergeCell ref="A2:AI2"/>
    <mergeCell ref="A4:AI4"/>
    <mergeCell ref="A6:AI6"/>
    <mergeCell ref="A8:AI8"/>
    <mergeCell ref="B10:C10"/>
    <mergeCell ref="F10:G10"/>
    <mergeCell ref="J10:K10"/>
    <mergeCell ref="A12:AI12"/>
    <mergeCell ref="A14:AI14"/>
    <mergeCell ref="A15:AI15"/>
    <mergeCell ref="B16:C16"/>
    <mergeCell ref="G16:H16"/>
    <mergeCell ref="C19:E19"/>
    <mergeCell ref="A68:D68"/>
    <mergeCell ref="F68:G68"/>
    <mergeCell ref="H68:I68"/>
    <mergeCell ref="J68:K68"/>
    <mergeCell ref="L68:M68"/>
    <mergeCell ref="N68:O68"/>
    <mergeCell ref="A29:AI29"/>
    <mergeCell ref="A31:AI31"/>
    <mergeCell ref="A32:AI32"/>
    <mergeCell ref="B33:C33"/>
    <mergeCell ref="G33:H33"/>
    <mergeCell ref="B35:D35"/>
    <mergeCell ref="A40:AI40"/>
    <mergeCell ref="B41:C41"/>
    <mergeCell ref="G41:H41"/>
    <mergeCell ref="C43:D43"/>
    <mergeCell ref="A45:AI45"/>
    <mergeCell ref="A50:D50"/>
    <mergeCell ref="F50:G50"/>
    <mergeCell ref="A21:AI21"/>
    <mergeCell ref="C69:D69"/>
    <mergeCell ref="E69:F69"/>
    <mergeCell ref="G69:H69"/>
    <mergeCell ref="I69:J69"/>
    <mergeCell ref="K69:L69"/>
    <mergeCell ref="A72:D72"/>
    <mergeCell ref="F72:G72"/>
    <mergeCell ref="H72:I72"/>
    <mergeCell ref="J72:K72"/>
    <mergeCell ref="L72:M72"/>
    <mergeCell ref="A76:AI76"/>
    <mergeCell ref="A78:AI78"/>
    <mergeCell ref="Q73:R73"/>
    <mergeCell ref="F74:G74"/>
    <mergeCell ref="H74:I74"/>
    <mergeCell ref="J74:K74"/>
    <mergeCell ref="L74:M74"/>
    <mergeCell ref="N74:O74"/>
    <mergeCell ref="N72:O72"/>
    <mergeCell ref="F73:G73"/>
    <mergeCell ref="H73:I73"/>
    <mergeCell ref="J73:K73"/>
    <mergeCell ref="L73:M73"/>
    <mergeCell ref="N73:O7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portrait" horizontalDpi="4294967293" verticalDpi="4294967293" r:id="rId1"/>
  <rowBreaks count="1" manualBreakCount="1">
    <brk id="74" max="3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AG57"/>
  <sheetViews>
    <sheetView view="pageBreakPreview" topLeftCell="B44" zoomScaleSheetLayoutView="100" workbookViewId="0">
      <selection activeCell="I54" sqref="I54:I55"/>
    </sheetView>
  </sheetViews>
  <sheetFormatPr defaultColWidth="9.140625" defaultRowHeight="14.25"/>
  <cols>
    <col min="1" max="1" width="2.28515625" style="157" customWidth="1"/>
    <col min="2" max="2" width="13.85546875" style="234" customWidth="1"/>
    <col min="3" max="3" width="12.85546875" style="234" customWidth="1"/>
    <col min="4" max="4" width="9.140625" style="234"/>
    <col min="5" max="5" width="60.7109375" style="355" customWidth="1"/>
    <col min="6" max="6" width="9.140625" style="234"/>
    <col min="7" max="7" width="9.85546875" style="235" bestFit="1" customWidth="1"/>
    <col min="8" max="8" width="9.140625" style="235"/>
    <col min="9" max="9" width="11.28515625" style="235" bestFit="1" customWidth="1"/>
    <col min="10" max="10" width="9.140625" style="157"/>
    <col min="11" max="11" width="9.140625" style="160"/>
    <col min="12" max="16384" width="9.140625" style="157"/>
  </cols>
  <sheetData>
    <row r="1" spans="2:11" s="153" customFormat="1" ht="21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.75" customHeight="1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354"/>
      <c r="F8" s="233"/>
      <c r="G8" s="233"/>
      <c r="H8" s="233"/>
      <c r="I8" s="233"/>
    </row>
    <row r="9" spans="2:11" ht="15" customHeight="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 ht="15" customHeight="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5">
      <c r="B11" s="158" t="s">
        <v>121</v>
      </c>
      <c r="C11" s="159" t="str">
        <f>'RUA 4'!C11</f>
        <v>1054116-72</v>
      </c>
      <c r="D11" s="194"/>
      <c r="E11" s="194"/>
      <c r="F11" s="194"/>
      <c r="G11" s="194"/>
      <c r="H11" s="194"/>
      <c r="I11" s="194"/>
    </row>
    <row r="12" spans="2:11" ht="15" customHeight="1">
      <c r="B12" s="158" t="s">
        <v>122</v>
      </c>
      <c r="C12" s="515" t="s">
        <v>375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5'!A2</f>
        <v>Rua José Evangelista da Silva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ht="28.5" customHeight="1">
      <c r="B15" s="521" t="s">
        <v>125</v>
      </c>
      <c r="C15" s="521"/>
      <c r="D15" s="522" t="s">
        <v>376</v>
      </c>
      <c r="E15" s="522"/>
      <c r="F15" s="522"/>
      <c r="G15" s="522"/>
      <c r="H15" s="235" t="s">
        <v>126</v>
      </c>
      <c r="I15" s="237">
        <f>BDI!B14</f>
        <v>0.2203</v>
      </c>
    </row>
    <row r="17" spans="2:11" ht="15">
      <c r="B17" s="518" t="s">
        <v>127</v>
      </c>
      <c r="C17" s="518" t="s">
        <v>52</v>
      </c>
      <c r="D17" s="518" t="s">
        <v>46</v>
      </c>
      <c r="E17" s="549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1" ht="15">
      <c r="B18" s="518"/>
      <c r="C18" s="518"/>
      <c r="D18" s="518"/>
      <c r="E18" s="549"/>
      <c r="F18" s="518"/>
      <c r="G18" s="519"/>
      <c r="H18" s="239" t="s">
        <v>132</v>
      </c>
      <c r="I18" s="239" t="s">
        <v>133</v>
      </c>
    </row>
    <row r="20" spans="2:11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438.91</v>
      </c>
    </row>
    <row r="21" spans="2:11">
      <c r="B21" s="176" t="s">
        <v>136</v>
      </c>
      <c r="C21" s="176" t="s">
        <v>137</v>
      </c>
      <c r="D21" s="176" t="s">
        <v>138</v>
      </c>
      <c r="E21" s="360" t="s">
        <v>231</v>
      </c>
      <c r="F21" s="176" t="s">
        <v>85</v>
      </c>
      <c r="G21" s="361">
        <f>'MEMORIAL 5'!J10</f>
        <v>0</v>
      </c>
      <c r="H21" s="361">
        <f>ROUND(K21+(K21*$I$15),2)</f>
        <v>381.08</v>
      </c>
      <c r="I21" s="361">
        <f>ROUND(G21*H21,2)</f>
        <v>0</v>
      </c>
      <c r="K21" s="160">
        <f>'RUA 4'!K21</f>
        <v>312.27999999999997</v>
      </c>
    </row>
    <row r="22" spans="2:11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5'!C18</f>
        <v>662.84</v>
      </c>
      <c r="H22" s="361">
        <f>ROUND(K22+(K22*$I$15),2)</f>
        <v>0.35</v>
      </c>
      <c r="I22" s="361">
        <f>ROUND(G22*H22,2)</f>
        <v>231.99</v>
      </c>
      <c r="K22" s="160">
        <v>0.28999999999999998</v>
      </c>
    </row>
    <row r="23" spans="2:11" ht="28.5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5'!B24</f>
        <v>2</v>
      </c>
      <c r="H23" s="361">
        <f>ROUND(K23+(K23*$I$15),2)</f>
        <v>103.46</v>
      </c>
      <c r="I23" s="361">
        <f>ROUND(G23*H23,2)</f>
        <v>206.92</v>
      </c>
      <c r="K23" s="160">
        <f>'RUA 4'!K23</f>
        <v>84.78</v>
      </c>
    </row>
    <row r="24" spans="2:11">
      <c r="B24" s="524"/>
      <c r="C24" s="524"/>
      <c r="D24" s="524"/>
      <c r="E24" s="524"/>
      <c r="F24" s="524"/>
      <c r="G24" s="524"/>
      <c r="H24" s="524"/>
      <c r="I24" s="524"/>
    </row>
    <row r="26" spans="2:11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53021.58</v>
      </c>
    </row>
    <row r="27" spans="2:11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5'!B69</f>
        <v>662.84</v>
      </c>
      <c r="H27" s="361">
        <f>ROUND(K27+(K27*$I$15),2)</f>
        <v>1.43</v>
      </c>
      <c r="I27" s="361">
        <f t="shared" ref="I27:I35" si="0">ROUND(G27*H27,2)</f>
        <v>947.86</v>
      </c>
      <c r="K27" s="160">
        <v>1.17</v>
      </c>
    </row>
    <row r="28" spans="2:11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'MEMORIAL 5'!B77</f>
        <v>662.84</v>
      </c>
      <c r="H28" s="361">
        <f>ROUND(K28+(K28*$I$15),2)</f>
        <v>50.13</v>
      </c>
      <c r="I28" s="361">
        <f t="shared" si="0"/>
        <v>33228.17</v>
      </c>
      <c r="K28" s="160">
        <f>'RUA 4'!K28</f>
        <v>41.08</v>
      </c>
    </row>
    <row r="29" spans="2:11">
      <c r="B29" s="176" t="s">
        <v>149</v>
      </c>
      <c r="C29" s="176" t="s">
        <v>150</v>
      </c>
      <c r="D29" s="176" t="s">
        <v>151</v>
      </c>
      <c r="E29" s="360" t="s">
        <v>369</v>
      </c>
      <c r="F29" s="176" t="s">
        <v>148</v>
      </c>
      <c r="G29" s="361">
        <f>'MEMORIAL 5'!F88</f>
        <v>211.58</v>
      </c>
      <c r="H29" s="361">
        <f t="shared" ref="H29" si="1">ROUND(K29+(K29*$I$15),2)</f>
        <v>15.49</v>
      </c>
      <c r="I29" s="361">
        <f t="shared" ref="I29" si="2">ROUND(G29*H29,2)</f>
        <v>3277.37</v>
      </c>
      <c r="K29" s="160">
        <f>'RUA 4'!K29</f>
        <v>12.69</v>
      </c>
    </row>
    <row r="30" spans="2:11" ht="28.5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5'!B95</f>
        <v>12</v>
      </c>
      <c r="H30" s="361">
        <f t="shared" ref="H30:H35" si="3">ROUND(K30+(K30*$I$15),2)</f>
        <v>15.49</v>
      </c>
      <c r="I30" s="361">
        <f t="shared" si="0"/>
        <v>185.88</v>
      </c>
      <c r="K30" s="160">
        <f>'RUA 4'!K30</f>
        <v>12.69</v>
      </c>
    </row>
    <row r="31" spans="2:11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5'!N112</f>
        <v>140.81</v>
      </c>
      <c r="H31" s="361">
        <f t="shared" si="3"/>
        <v>61.73</v>
      </c>
      <c r="I31" s="361">
        <f t="shared" si="0"/>
        <v>8692.2000000000007</v>
      </c>
      <c r="K31" s="160">
        <f>'RUA 4'!K31</f>
        <v>50.59</v>
      </c>
    </row>
    <row r="32" spans="2:11" ht="42.75">
      <c r="B32" s="176" t="s">
        <v>145</v>
      </c>
      <c r="C32" s="380" t="s">
        <v>364</v>
      </c>
      <c r="D32" s="176" t="s">
        <v>157</v>
      </c>
      <c r="E32" s="360" t="s">
        <v>156</v>
      </c>
      <c r="F32" s="176" t="s">
        <v>102</v>
      </c>
      <c r="G32" s="361">
        <f>ROUND('MEMORIAL 5'!B119,2)</f>
        <v>4</v>
      </c>
      <c r="H32" s="361">
        <f t="shared" si="3"/>
        <v>677.88</v>
      </c>
      <c r="I32" s="361">
        <f t="shared" si="0"/>
        <v>2711.52</v>
      </c>
      <c r="K32" s="160">
        <f>COMP!K72</f>
        <v>555.5</v>
      </c>
    </row>
    <row r="33" spans="2:33" ht="57">
      <c r="B33" s="176" t="s">
        <v>145</v>
      </c>
      <c r="C33" s="380" t="s">
        <v>421</v>
      </c>
      <c r="D33" s="176" t="s">
        <v>159</v>
      </c>
      <c r="E33" s="360" t="str">
        <f>'RUA 4'!E33</f>
        <v>Piso tátil direcional e/ou alerta, de concreto, colorido, p/deficientes visuais, dimensões 25x25cm, aplicado com argamassa industrializada AC-II, rejuntado, exclusive regularização de base</v>
      </c>
      <c r="F33" s="176" t="s">
        <v>85</v>
      </c>
      <c r="G33" s="361">
        <f>'MEMORIAL 5'!C138</f>
        <v>45.64</v>
      </c>
      <c r="H33" s="361">
        <f t="shared" si="3"/>
        <v>82.39</v>
      </c>
      <c r="I33" s="361">
        <f t="shared" si="0"/>
        <v>3760.28</v>
      </c>
      <c r="K33" s="160">
        <f>COMP!K439</f>
        <v>67.52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5'!B145,2)</f>
        <v>63.47</v>
      </c>
      <c r="H34" s="361">
        <f t="shared" si="3"/>
        <v>1.04</v>
      </c>
      <c r="I34" s="361">
        <f t="shared" si="0"/>
        <v>66.010000000000005</v>
      </c>
      <c r="K34" s="160">
        <f>'RUA 4'!K34</f>
        <v>0.85</v>
      </c>
    </row>
    <row r="35" spans="2:33" ht="30" customHeight="1">
      <c r="B35" s="176" t="s">
        <v>161</v>
      </c>
      <c r="C35" s="364" t="s">
        <v>162</v>
      </c>
      <c r="D35" s="176" t="s">
        <v>365</v>
      </c>
      <c r="E35" s="362" t="s">
        <v>164</v>
      </c>
      <c r="F35" s="242" t="s">
        <v>85</v>
      </c>
      <c r="G35" s="361">
        <f>'MEMORIAL 5'!C160</f>
        <v>0.48</v>
      </c>
      <c r="H35" s="361">
        <f t="shared" si="3"/>
        <v>317.27999999999997</v>
      </c>
      <c r="I35" s="361">
        <f t="shared" si="0"/>
        <v>152.29</v>
      </c>
      <c r="K35" s="160">
        <f>'RUA 4'!K35</f>
        <v>260</v>
      </c>
    </row>
    <row r="36" spans="2:33">
      <c r="B36" s="524"/>
      <c r="C36" s="524"/>
      <c r="D36" s="524"/>
      <c r="E36" s="524"/>
      <c r="F36" s="524"/>
      <c r="G36" s="524"/>
      <c r="H36" s="524"/>
      <c r="I36" s="524"/>
    </row>
    <row r="37" spans="2:33">
      <c r="E37" s="356"/>
      <c r="G37" s="234"/>
      <c r="H37" s="234"/>
      <c r="I37" s="234"/>
    </row>
    <row r="38" spans="2:33" s="197" customFormat="1" ht="15">
      <c r="B38" s="238" t="s">
        <v>127</v>
      </c>
      <c r="C38" s="238" t="s">
        <v>52</v>
      </c>
      <c r="D38" s="238" t="s">
        <v>165</v>
      </c>
      <c r="E38" s="523" t="s">
        <v>309</v>
      </c>
      <c r="F38" s="523"/>
      <c r="G38" s="523"/>
      <c r="H38" s="523"/>
      <c r="I38" s="239">
        <f>SUM(I39:I49)</f>
        <v>26916.22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 s="197" customFormat="1">
      <c r="B39" s="376" t="s">
        <v>136</v>
      </c>
      <c r="C39" s="376">
        <v>73610</v>
      </c>
      <c r="D39" s="376" t="s">
        <v>167</v>
      </c>
      <c r="E39" s="377" t="s">
        <v>256</v>
      </c>
      <c r="F39" s="376" t="s">
        <v>148</v>
      </c>
      <c r="G39" s="378">
        <f>'MEMORIAL 5'!C170</f>
        <v>93.32</v>
      </c>
      <c r="H39" s="378">
        <f>ROUND(K39+(K39*$I$15),2)</f>
        <v>1.06</v>
      </c>
      <c r="I39" s="378">
        <f>ROUNDDOWN(G39*H39,2)</f>
        <v>98.91</v>
      </c>
      <c r="K39" s="210">
        <f>'RUA 1'!K39</f>
        <v>0.87</v>
      </c>
      <c r="L39" s="20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40"/>
      <c r="AD39" s="224"/>
      <c r="AE39" s="224"/>
      <c r="AF39" s="240"/>
      <c r="AG39" s="240"/>
    </row>
    <row r="40" spans="2:33" s="197" customFormat="1" ht="71.25" customHeight="1">
      <c r="B40" s="176" t="s">
        <v>136</v>
      </c>
      <c r="C40" s="176">
        <v>90092</v>
      </c>
      <c r="D40" s="376" t="s">
        <v>310</v>
      </c>
      <c r="E40" s="177" t="s">
        <v>311</v>
      </c>
      <c r="F40" s="176" t="s">
        <v>58</v>
      </c>
      <c r="G40" s="241">
        <f>'MEMORIAL 5'!C181</f>
        <v>200.45</v>
      </c>
      <c r="H40" s="241">
        <f t="shared" ref="H40:H48" si="4">ROUND(K40+(K40*$I$15),2)</f>
        <v>4.92</v>
      </c>
      <c r="I40" s="241">
        <f>ROUNDDOWN(G40*H40,2)</f>
        <v>986.21</v>
      </c>
      <c r="K40" s="210">
        <f>'RUA 1'!K40</f>
        <v>4.03</v>
      </c>
      <c r="L40" s="20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40"/>
      <c r="AD40" s="224"/>
      <c r="AE40" s="224"/>
      <c r="AF40" s="240"/>
      <c r="AG40" s="240"/>
    </row>
    <row r="41" spans="2:33" s="197" customFormat="1" ht="42.75">
      <c r="B41" s="176" t="s">
        <v>136</v>
      </c>
      <c r="C41" s="176">
        <v>94045</v>
      </c>
      <c r="D41" s="376" t="s">
        <v>312</v>
      </c>
      <c r="E41" s="177" t="s">
        <v>314</v>
      </c>
      <c r="F41" s="176" t="s">
        <v>85</v>
      </c>
      <c r="G41" s="241">
        <f>'MEMORIAL 5'!C190</f>
        <v>136.78</v>
      </c>
      <c r="H41" s="241">
        <f t="shared" si="4"/>
        <v>12.48</v>
      </c>
      <c r="I41" s="241">
        <f>ROUND(G41*H41,2)</f>
        <v>1707.01</v>
      </c>
      <c r="K41" s="210">
        <f>'RUA 1'!K41</f>
        <v>10.23</v>
      </c>
      <c r="L41" s="204"/>
      <c r="M41" s="210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40"/>
      <c r="AD41" s="224"/>
      <c r="AE41" s="224"/>
      <c r="AF41" s="240"/>
      <c r="AG41" s="240"/>
    </row>
    <row r="42" spans="2:33" s="197" customFormat="1">
      <c r="B42" s="176" t="s">
        <v>315</v>
      </c>
      <c r="C42" s="380" t="s">
        <v>363</v>
      </c>
      <c r="D42" s="376" t="s">
        <v>313</v>
      </c>
      <c r="E42" s="177" t="s">
        <v>95</v>
      </c>
      <c r="F42" s="176" t="s">
        <v>58</v>
      </c>
      <c r="G42" s="241">
        <f>'MEMORIAL 5'!C199</f>
        <v>21</v>
      </c>
      <c r="H42" s="241">
        <f t="shared" si="4"/>
        <v>96.6</v>
      </c>
      <c r="I42" s="241">
        <f t="shared" ref="I42:I48" si="5">ROUND(G42*H42,2)</f>
        <v>2028.6</v>
      </c>
      <c r="K42" s="210">
        <f>'RUA 1'!K42</f>
        <v>79.16</v>
      </c>
      <c r="L42" s="20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40"/>
      <c r="AD42" s="224"/>
      <c r="AE42" s="224"/>
      <c r="AF42" s="240"/>
      <c r="AG42" s="240"/>
    </row>
    <row r="43" spans="2:33" s="197" customFormat="1" ht="42.75">
      <c r="B43" s="242" t="s">
        <v>136</v>
      </c>
      <c r="C43" s="242">
        <v>92212</v>
      </c>
      <c r="D43" s="376" t="s">
        <v>316</v>
      </c>
      <c r="E43" s="177" t="s">
        <v>353</v>
      </c>
      <c r="F43" s="176" t="s">
        <v>148</v>
      </c>
      <c r="G43" s="241">
        <f>'MEMORIAL 5'!C207</f>
        <v>93.32</v>
      </c>
      <c r="H43" s="241">
        <f t="shared" si="4"/>
        <v>156.25</v>
      </c>
      <c r="I43" s="241">
        <f t="shared" si="5"/>
        <v>14581.25</v>
      </c>
      <c r="K43" s="210">
        <f>'RUA 1'!K43</f>
        <v>128.04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40"/>
      <c r="AD43" s="224"/>
      <c r="AE43" s="224"/>
      <c r="AF43" s="240"/>
      <c r="AG43" s="240"/>
    </row>
    <row r="44" spans="2:33" s="197" customFormat="1" ht="71.25">
      <c r="B44" s="176" t="s">
        <v>136</v>
      </c>
      <c r="C44" s="176">
        <v>93360</v>
      </c>
      <c r="D44" s="376" t="s">
        <v>317</v>
      </c>
      <c r="E44" s="177" t="s">
        <v>319</v>
      </c>
      <c r="F44" s="176" t="s">
        <v>58</v>
      </c>
      <c r="G44" s="241">
        <f>'MEMORIAL 5'!B227</f>
        <v>158.05000000000001</v>
      </c>
      <c r="H44" s="241">
        <f t="shared" si="4"/>
        <v>15.07</v>
      </c>
      <c r="I44" s="241">
        <f t="shared" si="5"/>
        <v>2381.81</v>
      </c>
      <c r="K44" s="210">
        <f>'RUA 1'!K44</f>
        <v>12.35</v>
      </c>
      <c r="L44" s="20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40"/>
      <c r="AD44" s="224"/>
      <c r="AE44" s="224"/>
      <c r="AF44" s="240"/>
      <c r="AG44" s="240"/>
    </row>
    <row r="45" spans="2:33" s="197" customFormat="1" ht="42.75">
      <c r="B45" s="176" t="s">
        <v>315</v>
      </c>
      <c r="C45" s="380" t="s">
        <v>511</v>
      </c>
      <c r="D45" s="376" t="s">
        <v>318</v>
      </c>
      <c r="E45" s="196" t="s">
        <v>515</v>
      </c>
      <c r="F45" s="176" t="s">
        <v>102</v>
      </c>
      <c r="G45" s="241">
        <f>'MEMORIAL 5'!B233</f>
        <v>1</v>
      </c>
      <c r="H45" s="241">
        <f>ROUND(K45+(K45*$I$15),2)</f>
        <v>1951.89</v>
      </c>
      <c r="I45" s="241">
        <f t="shared" si="5"/>
        <v>1951.89</v>
      </c>
      <c r="K45" s="210">
        <f>COMP!K504</f>
        <v>1599.52</v>
      </c>
      <c r="L45" s="20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40"/>
      <c r="AD45" s="224"/>
      <c r="AE45" s="224"/>
      <c r="AF45" s="240"/>
      <c r="AG45" s="240"/>
    </row>
    <row r="46" spans="2:33" s="197" customFormat="1" ht="42.75">
      <c r="B46" s="176" t="s">
        <v>136</v>
      </c>
      <c r="C46" s="242">
        <v>83659</v>
      </c>
      <c r="D46" s="376" t="s">
        <v>320</v>
      </c>
      <c r="E46" s="177" t="s">
        <v>322</v>
      </c>
      <c r="F46" s="176" t="s">
        <v>102</v>
      </c>
      <c r="G46" s="241">
        <f>'MEMORIAL 5'!B239</f>
        <v>2</v>
      </c>
      <c r="H46" s="241">
        <f>ROUND(K46+(K46*$I$15),2)</f>
        <v>709.47</v>
      </c>
      <c r="I46" s="241">
        <f t="shared" si="5"/>
        <v>1418.94</v>
      </c>
      <c r="K46" s="210">
        <f>'RUA 1'!K45</f>
        <v>581.39</v>
      </c>
      <c r="L46" s="20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40"/>
      <c r="AD46" s="224"/>
      <c r="AE46" s="224"/>
      <c r="AF46" s="240"/>
      <c r="AG46" s="240"/>
    </row>
    <row r="47" spans="2:33" s="197" customFormat="1" ht="28.5">
      <c r="B47" s="176" t="s">
        <v>315</v>
      </c>
      <c r="C47" s="381" t="s">
        <v>361</v>
      </c>
      <c r="D47" s="376" t="s">
        <v>321</v>
      </c>
      <c r="E47" s="177" t="s">
        <v>324</v>
      </c>
      <c r="F47" s="176" t="s">
        <v>102</v>
      </c>
      <c r="G47" s="241">
        <f>'MEMORIAL 5'!B245</f>
        <v>2</v>
      </c>
      <c r="H47" s="241">
        <f t="shared" si="4"/>
        <v>374.95</v>
      </c>
      <c r="I47" s="241">
        <f t="shared" si="5"/>
        <v>749.9</v>
      </c>
      <c r="K47" s="210">
        <f>COMP!K352</f>
        <v>307.26</v>
      </c>
      <c r="L47" s="20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40"/>
      <c r="AD47" s="224"/>
      <c r="AE47" s="224"/>
      <c r="AF47" s="240"/>
      <c r="AG47" s="240"/>
    </row>
    <row r="48" spans="2:33" s="197" customFormat="1" ht="42.75">
      <c r="B48" s="176" t="s">
        <v>136</v>
      </c>
      <c r="C48" s="176" t="s">
        <v>326</v>
      </c>
      <c r="D48" s="376" t="s">
        <v>323</v>
      </c>
      <c r="E48" s="177" t="s">
        <v>327</v>
      </c>
      <c r="F48" s="176" t="s">
        <v>102</v>
      </c>
      <c r="G48" s="241">
        <f>'MEMORIAL 5'!B251</f>
        <v>1</v>
      </c>
      <c r="H48" s="241">
        <f t="shared" si="4"/>
        <v>1011.7</v>
      </c>
      <c r="I48" s="241">
        <f t="shared" si="5"/>
        <v>1011.7</v>
      </c>
      <c r="K48" s="210">
        <f>'RUA 1'!K47</f>
        <v>829.06</v>
      </c>
      <c r="L48" s="20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40"/>
      <c r="AD48" s="224"/>
      <c r="AE48" s="224"/>
      <c r="AF48" s="240"/>
      <c r="AG48" s="240"/>
    </row>
    <row r="49" spans="2:33" customFormat="1" ht="15">
      <c r="B49" s="371"/>
      <c r="C49" s="371"/>
      <c r="D49" s="371"/>
      <c r="E49" s="371"/>
      <c r="F49" s="371"/>
      <c r="G49" s="371"/>
      <c r="H49" s="371"/>
      <c r="I49" s="371"/>
    </row>
    <row r="50" spans="2:33" s="197" customFormat="1" ht="15">
      <c r="B50" s="238" t="s">
        <v>127</v>
      </c>
      <c r="C50" s="238" t="s">
        <v>52</v>
      </c>
      <c r="D50" s="238" t="s">
        <v>165</v>
      </c>
      <c r="E50" s="523" t="s">
        <v>166</v>
      </c>
      <c r="F50" s="523"/>
      <c r="G50" s="523"/>
      <c r="H50" s="523"/>
      <c r="I50" s="239">
        <f>SUM(I51)</f>
        <v>258.51</v>
      </c>
      <c r="K50" s="204"/>
      <c r="L50" s="20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40"/>
      <c r="AD50" s="224"/>
      <c r="AE50" s="224"/>
      <c r="AF50" s="240"/>
      <c r="AG50" s="240"/>
    </row>
    <row r="51" spans="2:33">
      <c r="B51" s="176" t="s">
        <v>158</v>
      </c>
      <c r="C51" s="176">
        <v>84523</v>
      </c>
      <c r="D51" s="176" t="s">
        <v>167</v>
      </c>
      <c r="E51" s="196" t="s">
        <v>168</v>
      </c>
      <c r="F51" s="176" t="s">
        <v>85</v>
      </c>
      <c r="G51" s="241">
        <f>'MEMORIAL 5'!B259</f>
        <v>662.84</v>
      </c>
      <c r="H51" s="244">
        <f>ROUND(K51+(K51*$I$15),2)</f>
        <v>0.39</v>
      </c>
      <c r="I51" s="176">
        <f>ROUND(G51*H51,2)</f>
        <v>258.51</v>
      </c>
      <c r="K51" s="160">
        <f>'RUA 4'!K39</f>
        <v>0.32</v>
      </c>
    </row>
    <row r="52" spans="2:33">
      <c r="B52" s="524"/>
      <c r="C52" s="524"/>
      <c r="D52" s="524"/>
      <c r="E52" s="524"/>
      <c r="F52" s="524"/>
      <c r="G52" s="524"/>
      <c r="H52" s="524"/>
      <c r="I52" s="524"/>
    </row>
    <row r="54" spans="2:33">
      <c r="B54" s="550" t="s">
        <v>133</v>
      </c>
      <c r="C54" s="551"/>
      <c r="D54" s="551"/>
      <c r="E54" s="551"/>
      <c r="F54" s="551"/>
      <c r="G54" s="551"/>
      <c r="H54" s="552"/>
      <c r="I54" s="556">
        <f>I26+I20+I50+I38</f>
        <v>80635.22</v>
      </c>
    </row>
    <row r="55" spans="2:33">
      <c r="B55" s="553"/>
      <c r="C55" s="554"/>
      <c r="D55" s="554"/>
      <c r="E55" s="554"/>
      <c r="F55" s="554"/>
      <c r="G55" s="554"/>
      <c r="H55" s="555"/>
      <c r="I55" s="557"/>
    </row>
    <row r="57" spans="2:33">
      <c r="B57" s="245"/>
    </row>
  </sheetData>
  <mergeCells count="29">
    <mergeCell ref="B52:I52"/>
    <mergeCell ref="B54:H55"/>
    <mergeCell ref="I54:I55"/>
    <mergeCell ref="H17:I17"/>
    <mergeCell ref="E20:H20"/>
    <mergeCell ref="B24:I24"/>
    <mergeCell ref="E26:H26"/>
    <mergeCell ref="B36:I36"/>
    <mergeCell ref="E50:H50"/>
    <mergeCell ref="B17:B18"/>
    <mergeCell ref="C17:C18"/>
    <mergeCell ref="D17:D18"/>
    <mergeCell ref="E17:E18"/>
    <mergeCell ref="F17:F18"/>
    <mergeCell ref="G17:G18"/>
    <mergeCell ref="E38:H38"/>
    <mergeCell ref="B15:C15"/>
    <mergeCell ref="D15:G15"/>
    <mergeCell ref="B1:I1"/>
    <mergeCell ref="B2:I2"/>
    <mergeCell ref="B3:I3"/>
    <mergeCell ref="B4:I4"/>
    <mergeCell ref="B5:I5"/>
    <mergeCell ref="B6:I6"/>
    <mergeCell ref="B7:I7"/>
    <mergeCell ref="B9:I9"/>
    <mergeCell ref="B10:I10"/>
    <mergeCell ref="C12:I12"/>
    <mergeCell ref="C13:I13"/>
  </mergeCells>
  <printOptions horizontalCentered="1"/>
  <pageMargins left="0.25" right="0.25" top="0.75" bottom="0.75" header="0.3" footer="0.3"/>
  <pageSetup paperSize="9" scale="59" orientation="portrait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O259"/>
  <sheetViews>
    <sheetView view="pageBreakPreview" topLeftCell="A190" zoomScaleSheetLayoutView="100" workbookViewId="0">
      <selection activeCell="C190" sqref="C190:D190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8" width="3.7109375" style="200" customWidth="1"/>
    <col min="9" max="9" width="4.85546875" style="200" customWidth="1"/>
    <col min="10" max="13" width="3.7109375" style="200" customWidth="1"/>
    <col min="14" max="15" width="3.7109375" style="199" customWidth="1"/>
    <col min="16" max="18" width="3.7109375" style="200" customWidth="1"/>
    <col min="19" max="19" width="3.7109375" style="199" customWidth="1"/>
    <col min="20" max="34" width="3.71093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392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35" t="s">
        <v>171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0</v>
      </c>
      <c r="C10" s="543"/>
      <c r="D10" s="199" t="s">
        <v>148</v>
      </c>
      <c r="E10" s="198" t="s">
        <v>175</v>
      </c>
      <c r="F10" s="543">
        <f>AK10</f>
        <v>0</v>
      </c>
      <c r="G10" s="543"/>
      <c r="H10" s="199" t="s">
        <v>148</v>
      </c>
      <c r="I10" s="198" t="s">
        <v>176</v>
      </c>
      <c r="J10" s="543">
        <f>B10*F10</f>
        <v>0</v>
      </c>
      <c r="K10" s="543"/>
      <c r="L10" s="199" t="s">
        <v>85</v>
      </c>
      <c r="N10" s="198"/>
      <c r="O10" s="198"/>
      <c r="AJ10" s="201">
        <v>0</v>
      </c>
      <c r="AK10" s="201">
        <v>0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AJ75</f>
        <v>105.06</v>
      </c>
      <c r="C16" s="530"/>
      <c r="D16" s="200" t="s">
        <v>148</v>
      </c>
      <c r="E16" s="214" t="s">
        <v>175</v>
      </c>
      <c r="F16" s="205"/>
      <c r="G16" s="543">
        <f>AK75</f>
        <v>6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0">
      <c r="A17" s="200" t="s">
        <v>420</v>
      </c>
      <c r="B17" s="204"/>
      <c r="C17" s="204"/>
      <c r="D17" s="204"/>
      <c r="E17" s="525">
        <v>32.479999999999997</v>
      </c>
      <c r="F17" s="525"/>
      <c r="G17" s="200" t="s">
        <v>85</v>
      </c>
      <c r="AJ17" s="201"/>
      <c r="AK17" s="202"/>
      <c r="AL17" s="202"/>
      <c r="AM17" s="203"/>
      <c r="AN17" s="203"/>
    </row>
    <row r="18" spans="1:40">
      <c r="A18" s="200" t="s">
        <v>185</v>
      </c>
      <c r="B18" s="204"/>
      <c r="C18" s="525">
        <f>B16*G16+E17</f>
        <v>662.84</v>
      </c>
      <c r="D18" s="525"/>
      <c r="E18" s="525"/>
      <c r="F18" s="206" t="s">
        <v>85</v>
      </c>
      <c r="AJ18" s="201"/>
      <c r="AK18" s="202"/>
      <c r="AL18" s="202"/>
      <c r="AM18" s="203"/>
      <c r="AN18" s="203"/>
    </row>
    <row r="19" spans="1:40">
      <c r="F19" s="216"/>
      <c r="G19" s="216"/>
      <c r="N19" s="200"/>
      <c r="O19" s="200"/>
      <c r="S19" s="200"/>
      <c r="AJ19" s="201"/>
      <c r="AK19" s="202"/>
      <c r="AL19" s="202"/>
      <c r="AM19" s="203"/>
      <c r="AN19" s="203"/>
    </row>
    <row r="20" spans="1:40" ht="15">
      <c r="A20" s="542" t="s">
        <v>428</v>
      </c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201"/>
      <c r="AK20" s="202"/>
      <c r="AL20" s="202"/>
      <c r="AM20" s="203"/>
      <c r="AN20" s="203"/>
    </row>
    <row r="21" spans="1:40">
      <c r="AJ21" s="201"/>
      <c r="AK21" s="202"/>
      <c r="AL21" s="202"/>
      <c r="AM21" s="203"/>
      <c r="AN21" s="203"/>
    </row>
    <row r="22" spans="1:40">
      <c r="A22" s="530" t="s">
        <v>442</v>
      </c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530"/>
      <c r="AB22" s="530"/>
      <c r="AC22" s="530"/>
      <c r="AD22" s="530"/>
      <c r="AE22" s="530"/>
      <c r="AF22" s="530"/>
      <c r="AG22" s="530"/>
      <c r="AH22" s="530"/>
      <c r="AI22" s="530"/>
      <c r="AJ22" s="201"/>
      <c r="AK22" s="202"/>
      <c r="AL22" s="202"/>
      <c r="AM22" s="203"/>
      <c r="AN22" s="203"/>
    </row>
    <row r="23" spans="1:40">
      <c r="AJ23" s="201" t="s">
        <v>178</v>
      </c>
      <c r="AK23" s="202"/>
      <c r="AL23" s="202"/>
      <c r="AM23" s="203"/>
      <c r="AN23" s="203"/>
    </row>
    <row r="24" spans="1:40">
      <c r="A24" s="200" t="s">
        <v>179</v>
      </c>
      <c r="B24" s="543">
        <f>AJ24</f>
        <v>2</v>
      </c>
      <c r="C24" s="543"/>
      <c r="D24" s="200" t="s">
        <v>102</v>
      </c>
      <c r="AJ24" s="201">
        <v>2</v>
      </c>
      <c r="AK24" s="202"/>
      <c r="AL24" s="202"/>
      <c r="AM24" s="203"/>
      <c r="AN24" s="203"/>
    </row>
    <row r="25" spans="1:40">
      <c r="AJ25" s="201"/>
      <c r="AK25" s="202"/>
      <c r="AL25" s="202"/>
      <c r="AM25" s="203"/>
      <c r="AN25" s="203"/>
    </row>
    <row r="26" spans="1:40" s="197" customFormat="1" ht="15" hidden="1">
      <c r="A26" s="559" t="s">
        <v>232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559"/>
      <c r="S26" s="559"/>
      <c r="T26" s="559"/>
      <c r="U26" s="559"/>
      <c r="V26" s="559"/>
      <c r="W26" s="559"/>
      <c r="X26" s="559"/>
      <c r="Y26" s="559"/>
      <c r="Z26" s="559"/>
      <c r="AA26" s="559"/>
      <c r="AB26" s="559"/>
      <c r="AC26" s="559"/>
      <c r="AD26" s="559"/>
      <c r="AE26" s="559"/>
      <c r="AF26" s="559"/>
      <c r="AG26" s="559"/>
      <c r="AH26" s="559"/>
      <c r="AI26" s="559"/>
      <c r="AJ26" s="207"/>
      <c r="AK26" s="208"/>
      <c r="AL26" s="208"/>
      <c r="AM26" s="209"/>
      <c r="AN26" s="209"/>
    </row>
    <row r="27" spans="1:40" s="197" customFormat="1" hidden="1">
      <c r="N27" s="210"/>
      <c r="O27" s="210"/>
      <c r="S27" s="210"/>
      <c r="AJ27" s="207"/>
      <c r="AK27" s="208"/>
      <c r="AL27" s="208"/>
      <c r="AM27" s="209"/>
      <c r="AN27" s="209"/>
    </row>
    <row r="28" spans="1:40" s="197" customFormat="1" hidden="1">
      <c r="A28" s="558" t="s">
        <v>233</v>
      </c>
      <c r="B28" s="558"/>
      <c r="C28" s="558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558"/>
      <c r="T28" s="558"/>
      <c r="U28" s="558"/>
      <c r="V28" s="558"/>
      <c r="W28" s="558"/>
      <c r="X28" s="558"/>
      <c r="Y28" s="558"/>
      <c r="Z28" s="558"/>
      <c r="AA28" s="558"/>
      <c r="AB28" s="558"/>
      <c r="AC28" s="558"/>
      <c r="AD28" s="558"/>
      <c r="AE28" s="558"/>
      <c r="AF28" s="558"/>
      <c r="AG28" s="558"/>
      <c r="AH28" s="558"/>
      <c r="AI28" s="558"/>
      <c r="AJ28" s="207"/>
      <c r="AK28" s="208"/>
      <c r="AL28" s="208"/>
      <c r="AM28" s="209"/>
      <c r="AN28" s="209"/>
    </row>
    <row r="29" spans="1:40" s="197" customFormat="1" hidden="1">
      <c r="N29" s="210"/>
      <c r="O29" s="210"/>
      <c r="S29" s="210"/>
      <c r="AJ29" s="207" t="s">
        <v>234</v>
      </c>
      <c r="AK29" s="208"/>
      <c r="AL29" s="208"/>
      <c r="AM29" s="209"/>
      <c r="AN29" s="209"/>
    </row>
    <row r="30" spans="1:40" s="197" customFormat="1" hidden="1">
      <c r="A30" s="197" t="s">
        <v>235</v>
      </c>
      <c r="B30" s="560">
        <f>AJ30</f>
        <v>1</v>
      </c>
      <c r="C30" s="560"/>
      <c r="D30" s="558" t="s">
        <v>102</v>
      </c>
      <c r="E30" s="558"/>
      <c r="N30" s="210"/>
      <c r="O30" s="210"/>
      <c r="S30" s="210"/>
      <c r="AJ30" s="207">
        <v>1</v>
      </c>
      <c r="AK30" s="208"/>
      <c r="AL30" s="208"/>
      <c r="AM30" s="209"/>
      <c r="AN30" s="209"/>
    </row>
    <row r="31" spans="1:40" s="197" customFormat="1" hidden="1">
      <c r="N31" s="210"/>
      <c r="O31" s="210"/>
      <c r="S31" s="210"/>
      <c r="AJ31" s="207"/>
      <c r="AK31" s="208"/>
      <c r="AL31" s="208"/>
      <c r="AM31" s="209"/>
      <c r="AN31" s="209"/>
    </row>
    <row r="32" spans="1:40" s="197" customFormat="1" hidden="1">
      <c r="N32" s="210"/>
      <c r="O32" s="210"/>
      <c r="S32" s="210"/>
      <c r="AJ32" s="207"/>
      <c r="AK32" s="208"/>
      <c r="AL32" s="208"/>
      <c r="AM32" s="209"/>
      <c r="AN32" s="209"/>
    </row>
    <row r="33" spans="1:40" s="197" customFormat="1" ht="15" hidden="1">
      <c r="A33" s="559" t="s">
        <v>236</v>
      </c>
      <c r="B33" s="559"/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9"/>
      <c r="V33" s="559"/>
      <c r="W33" s="559"/>
      <c r="X33" s="559"/>
      <c r="Y33" s="559"/>
      <c r="Z33" s="559"/>
      <c r="AA33" s="559"/>
      <c r="AB33" s="559"/>
      <c r="AC33" s="559"/>
      <c r="AD33" s="559"/>
      <c r="AE33" s="559"/>
      <c r="AF33" s="559"/>
      <c r="AG33" s="559"/>
      <c r="AH33" s="559"/>
      <c r="AI33" s="559"/>
      <c r="AJ33" s="207"/>
      <c r="AK33" s="208"/>
      <c r="AL33" s="208"/>
      <c r="AM33" s="209"/>
      <c r="AN33" s="209"/>
    </row>
    <row r="34" spans="1:40" s="197" customFormat="1" hidden="1">
      <c r="N34" s="210"/>
      <c r="O34" s="210"/>
      <c r="S34" s="210"/>
      <c r="AJ34" s="207"/>
      <c r="AK34" s="208"/>
      <c r="AL34" s="208"/>
      <c r="AM34" s="209"/>
      <c r="AN34" s="209"/>
    </row>
    <row r="35" spans="1:40" s="197" customFormat="1" hidden="1">
      <c r="A35" s="558" t="s">
        <v>233</v>
      </c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8"/>
      <c r="S35" s="558"/>
      <c r="T35" s="558"/>
      <c r="U35" s="558"/>
      <c r="V35" s="558"/>
      <c r="W35" s="558"/>
      <c r="X35" s="558"/>
      <c r="Y35" s="558"/>
      <c r="Z35" s="558"/>
      <c r="AA35" s="558"/>
      <c r="AB35" s="558"/>
      <c r="AC35" s="558"/>
      <c r="AD35" s="558"/>
      <c r="AE35" s="558"/>
      <c r="AF35" s="558"/>
      <c r="AG35" s="558"/>
      <c r="AH35" s="558"/>
      <c r="AI35" s="558"/>
      <c r="AJ35" s="207"/>
      <c r="AK35" s="208"/>
      <c r="AL35" s="208"/>
      <c r="AM35" s="209"/>
      <c r="AN35" s="209"/>
    </row>
    <row r="36" spans="1:40" s="197" customFormat="1" hidden="1">
      <c r="N36" s="210"/>
      <c r="O36" s="210"/>
      <c r="S36" s="210"/>
      <c r="AJ36" s="207" t="s">
        <v>234</v>
      </c>
      <c r="AK36" s="208"/>
      <c r="AL36" s="208"/>
      <c r="AM36" s="209"/>
      <c r="AN36" s="209"/>
    </row>
    <row r="37" spans="1:40" s="197" customFormat="1" hidden="1">
      <c r="A37" s="197" t="s">
        <v>235</v>
      </c>
      <c r="B37" s="560">
        <f>AJ37</f>
        <v>1</v>
      </c>
      <c r="C37" s="560"/>
      <c r="D37" s="558" t="s">
        <v>102</v>
      </c>
      <c r="E37" s="558"/>
      <c r="N37" s="210"/>
      <c r="O37" s="210"/>
      <c r="S37" s="210"/>
      <c r="AJ37" s="207">
        <v>1</v>
      </c>
      <c r="AK37" s="208"/>
      <c r="AL37" s="208"/>
      <c r="AM37" s="209"/>
      <c r="AN37" s="209"/>
    </row>
    <row r="38" spans="1:40" s="197" customFormat="1" hidden="1">
      <c r="N38" s="210"/>
      <c r="O38" s="210"/>
      <c r="S38" s="210"/>
      <c r="AJ38" s="207"/>
      <c r="AK38" s="208"/>
      <c r="AL38" s="208"/>
      <c r="AM38" s="209"/>
      <c r="AN38" s="209"/>
    </row>
    <row r="39" spans="1:40" s="197" customFormat="1" hidden="1">
      <c r="N39" s="210"/>
      <c r="O39" s="210"/>
      <c r="S39" s="210"/>
      <c r="AJ39" s="207"/>
      <c r="AK39" s="208"/>
      <c r="AL39" s="208"/>
      <c r="AM39" s="209"/>
      <c r="AN39" s="209"/>
    </row>
    <row r="40" spans="1:40" s="197" customFormat="1" ht="15" hidden="1">
      <c r="A40" s="559" t="s">
        <v>237</v>
      </c>
      <c r="B40" s="559"/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  <c r="AB40" s="559"/>
      <c r="AC40" s="559"/>
      <c r="AD40" s="559"/>
      <c r="AE40" s="559"/>
      <c r="AF40" s="559"/>
      <c r="AG40" s="559"/>
      <c r="AH40" s="559"/>
      <c r="AI40" s="559"/>
      <c r="AJ40" s="207"/>
      <c r="AK40" s="208"/>
      <c r="AL40" s="208"/>
      <c r="AM40" s="209"/>
      <c r="AN40" s="209"/>
    </row>
    <row r="41" spans="1:40" s="197" customFormat="1" hidden="1">
      <c r="N41" s="210"/>
      <c r="O41" s="210"/>
      <c r="S41" s="210"/>
      <c r="AJ41" s="207"/>
      <c r="AK41" s="208"/>
      <c r="AL41" s="208"/>
      <c r="AM41" s="209"/>
      <c r="AN41" s="209"/>
    </row>
    <row r="42" spans="1:40" s="197" customFormat="1" hidden="1">
      <c r="A42" s="558" t="s">
        <v>233</v>
      </c>
      <c r="B42" s="558"/>
      <c r="C42" s="558"/>
      <c r="D42" s="558"/>
      <c r="E42" s="558"/>
      <c r="F42" s="558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8"/>
      <c r="S42" s="558"/>
      <c r="T42" s="558"/>
      <c r="U42" s="558"/>
      <c r="V42" s="558"/>
      <c r="W42" s="558"/>
      <c r="X42" s="558"/>
      <c r="Y42" s="558"/>
      <c r="Z42" s="558"/>
      <c r="AA42" s="558"/>
      <c r="AB42" s="558"/>
      <c r="AC42" s="558"/>
      <c r="AD42" s="558"/>
      <c r="AE42" s="558"/>
      <c r="AF42" s="558"/>
      <c r="AG42" s="558"/>
      <c r="AH42" s="558"/>
      <c r="AI42" s="558"/>
      <c r="AJ42" s="207"/>
      <c r="AK42" s="208"/>
      <c r="AL42" s="208"/>
      <c r="AM42" s="209"/>
      <c r="AN42" s="209"/>
    </row>
    <row r="43" spans="1:40" s="197" customFormat="1" hidden="1">
      <c r="N43" s="210"/>
      <c r="O43" s="210"/>
      <c r="S43" s="210"/>
      <c r="AJ43" s="207" t="s">
        <v>234</v>
      </c>
      <c r="AK43" s="208"/>
      <c r="AL43" s="208"/>
      <c r="AM43" s="209"/>
      <c r="AN43" s="209"/>
    </row>
    <row r="44" spans="1:40" s="197" customFormat="1" hidden="1">
      <c r="A44" s="197" t="s">
        <v>235</v>
      </c>
      <c r="B44" s="560">
        <f>AJ44</f>
        <v>1</v>
      </c>
      <c r="C44" s="560"/>
      <c r="D44" s="558" t="s">
        <v>102</v>
      </c>
      <c r="E44" s="558"/>
      <c r="N44" s="210"/>
      <c r="O44" s="210"/>
      <c r="S44" s="210"/>
      <c r="AJ44" s="207">
        <v>1</v>
      </c>
      <c r="AK44" s="208"/>
      <c r="AL44" s="208"/>
      <c r="AM44" s="209"/>
      <c r="AN44" s="209"/>
    </row>
    <row r="45" spans="1:40" s="197" customFormat="1" hidden="1">
      <c r="N45" s="210"/>
      <c r="O45" s="210"/>
      <c r="S45" s="210"/>
      <c r="AJ45" s="211"/>
      <c r="AK45" s="208"/>
      <c r="AL45" s="208"/>
      <c r="AM45" s="209"/>
      <c r="AN45" s="209"/>
    </row>
    <row r="46" spans="1:40" s="197" customFormat="1" hidden="1">
      <c r="N46" s="210"/>
      <c r="O46" s="210"/>
      <c r="S46" s="210"/>
      <c r="AJ46" s="211"/>
      <c r="AK46" s="208"/>
      <c r="AL46" s="208"/>
      <c r="AM46" s="209"/>
      <c r="AN46" s="209"/>
    </row>
    <row r="47" spans="1:40" s="197" customFormat="1" ht="15" hidden="1">
      <c r="A47" s="559" t="s">
        <v>238</v>
      </c>
      <c r="B47" s="559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211"/>
      <c r="AK47" s="208"/>
      <c r="AL47" s="208"/>
      <c r="AM47" s="209"/>
      <c r="AN47" s="209"/>
    </row>
    <row r="48" spans="1:40" s="197" customFormat="1" hidden="1">
      <c r="N48" s="210"/>
      <c r="O48" s="210"/>
      <c r="S48" s="210"/>
      <c r="AJ48" s="211"/>
      <c r="AK48" s="208"/>
      <c r="AL48" s="208"/>
      <c r="AM48" s="209"/>
      <c r="AN48" s="209"/>
    </row>
    <row r="49" spans="1:40" s="197" customFormat="1" hidden="1">
      <c r="A49" s="558" t="s">
        <v>233</v>
      </c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8"/>
      <c r="AE49" s="558"/>
      <c r="AF49" s="558"/>
      <c r="AG49" s="558"/>
      <c r="AH49" s="558"/>
      <c r="AI49" s="558"/>
      <c r="AJ49" s="211"/>
      <c r="AK49" s="208"/>
      <c r="AL49" s="208"/>
      <c r="AM49" s="209"/>
      <c r="AN49" s="209"/>
    </row>
    <row r="50" spans="1:40" s="197" customFormat="1" hidden="1">
      <c r="N50" s="210"/>
      <c r="O50" s="210"/>
      <c r="S50" s="210"/>
      <c r="AJ50" s="207" t="s">
        <v>234</v>
      </c>
      <c r="AK50" s="208"/>
      <c r="AL50" s="208"/>
      <c r="AM50" s="209"/>
      <c r="AN50" s="209"/>
    </row>
    <row r="51" spans="1:40" s="197" customFormat="1" hidden="1">
      <c r="A51" s="197" t="s">
        <v>235</v>
      </c>
      <c r="B51" s="560">
        <f>AJ51</f>
        <v>1</v>
      </c>
      <c r="C51" s="560"/>
      <c r="D51" s="558" t="s">
        <v>102</v>
      </c>
      <c r="E51" s="558"/>
      <c r="N51" s="210"/>
      <c r="O51" s="210"/>
      <c r="S51" s="210"/>
      <c r="AJ51" s="207">
        <v>1</v>
      </c>
      <c r="AK51" s="208"/>
      <c r="AL51" s="208"/>
      <c r="AM51" s="209"/>
      <c r="AN51" s="209"/>
    </row>
    <row r="52" spans="1:40" s="197" customFormat="1" hidden="1">
      <c r="N52" s="210"/>
      <c r="O52" s="210"/>
      <c r="S52" s="210"/>
      <c r="AJ52" s="207"/>
      <c r="AK52" s="208"/>
      <c r="AL52" s="208"/>
      <c r="AM52" s="209"/>
      <c r="AN52" s="209"/>
    </row>
    <row r="53" spans="1:40" s="197" customFormat="1" hidden="1">
      <c r="N53" s="210"/>
      <c r="O53" s="210"/>
      <c r="S53" s="210"/>
      <c r="AJ53" s="207"/>
      <c r="AK53" s="208"/>
      <c r="AL53" s="208"/>
      <c r="AM53" s="209"/>
      <c r="AN53" s="209"/>
    </row>
    <row r="54" spans="1:40" s="197" customFormat="1" ht="15" hidden="1">
      <c r="A54" s="559" t="s">
        <v>239</v>
      </c>
      <c r="B54" s="559"/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P54" s="559"/>
      <c r="Q54" s="559"/>
      <c r="R54" s="559"/>
      <c r="S54" s="559"/>
      <c r="T54" s="559"/>
      <c r="U54" s="559"/>
      <c r="V54" s="559"/>
      <c r="W54" s="559"/>
      <c r="X54" s="559"/>
      <c r="Y54" s="559"/>
      <c r="Z54" s="559"/>
      <c r="AA54" s="559"/>
      <c r="AB54" s="559"/>
      <c r="AC54" s="559"/>
      <c r="AD54" s="559"/>
      <c r="AE54" s="559"/>
      <c r="AF54" s="559"/>
      <c r="AG54" s="559"/>
      <c r="AH54" s="559"/>
      <c r="AI54" s="559"/>
      <c r="AJ54" s="207"/>
      <c r="AK54" s="208"/>
      <c r="AL54" s="208"/>
      <c r="AM54" s="209"/>
      <c r="AN54" s="209"/>
    </row>
    <row r="55" spans="1:40" s="197" customFormat="1" hidden="1">
      <c r="N55" s="210"/>
      <c r="O55" s="210"/>
      <c r="S55" s="210"/>
      <c r="AJ55" s="207"/>
      <c r="AK55" s="208"/>
      <c r="AL55" s="208"/>
      <c r="AM55" s="209"/>
      <c r="AN55" s="209"/>
    </row>
    <row r="56" spans="1:40" s="197" customFormat="1" hidden="1">
      <c r="A56" s="558" t="s">
        <v>233</v>
      </c>
      <c r="B56" s="558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207"/>
      <c r="AK56" s="208"/>
      <c r="AL56" s="208"/>
      <c r="AM56" s="209"/>
      <c r="AN56" s="209"/>
    </row>
    <row r="57" spans="1:40" s="197" customFormat="1" hidden="1">
      <c r="N57" s="210"/>
      <c r="O57" s="210"/>
      <c r="S57" s="210"/>
      <c r="AJ57" s="207" t="s">
        <v>234</v>
      </c>
      <c r="AK57" s="208"/>
      <c r="AL57" s="208"/>
      <c r="AM57" s="209"/>
      <c r="AN57" s="209"/>
    </row>
    <row r="58" spans="1:40" s="197" customFormat="1" hidden="1">
      <c r="A58" s="197" t="s">
        <v>235</v>
      </c>
      <c r="B58" s="560">
        <f>AJ58</f>
        <v>1</v>
      </c>
      <c r="C58" s="560"/>
      <c r="D58" s="558" t="s">
        <v>102</v>
      </c>
      <c r="E58" s="558"/>
      <c r="N58" s="210"/>
      <c r="O58" s="210"/>
      <c r="S58" s="210"/>
      <c r="AJ58" s="207">
        <v>1</v>
      </c>
      <c r="AK58" s="208"/>
      <c r="AL58" s="208"/>
      <c r="AM58" s="209"/>
      <c r="AN58" s="209"/>
    </row>
    <row r="59" spans="1:40" s="197" customFormat="1" hidden="1">
      <c r="N59" s="210"/>
      <c r="O59" s="210"/>
      <c r="S59" s="210"/>
      <c r="AJ59" s="207"/>
      <c r="AK59" s="208"/>
      <c r="AL59" s="208"/>
      <c r="AM59" s="209"/>
      <c r="AN59" s="209"/>
    </row>
    <row r="60" spans="1:40" s="197" customFormat="1" hidden="1">
      <c r="N60" s="210"/>
      <c r="O60" s="210"/>
      <c r="S60" s="210"/>
      <c r="AJ60" s="207"/>
      <c r="AK60" s="208"/>
      <c r="AL60" s="208"/>
      <c r="AM60" s="209"/>
      <c r="AN60" s="209"/>
    </row>
    <row r="61" spans="1:40" ht="15">
      <c r="A61" s="539" t="s">
        <v>180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1"/>
      <c r="AJ61" s="201"/>
      <c r="AK61" s="202"/>
      <c r="AL61" s="202"/>
      <c r="AM61" s="203"/>
      <c r="AN61" s="203"/>
    </row>
    <row r="62" spans="1:40">
      <c r="AJ62" s="201"/>
      <c r="AK62" s="202"/>
      <c r="AL62" s="202"/>
      <c r="AM62" s="203"/>
      <c r="AN62" s="203"/>
    </row>
    <row r="63" spans="1:40" ht="15">
      <c r="A63" s="542" t="s">
        <v>409</v>
      </c>
      <c r="B63" s="542"/>
      <c r="C63" s="542"/>
      <c r="D63" s="542"/>
      <c r="E63" s="542"/>
      <c r="F63" s="542"/>
      <c r="G63" s="542"/>
      <c r="H63" s="542"/>
      <c r="I63" s="542"/>
      <c r="J63" s="542"/>
      <c r="K63" s="542"/>
      <c r="L63" s="542"/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  <c r="X63" s="542"/>
      <c r="Y63" s="542"/>
      <c r="Z63" s="542"/>
      <c r="AA63" s="542"/>
      <c r="AB63" s="542"/>
      <c r="AC63" s="542"/>
      <c r="AD63" s="542"/>
      <c r="AE63" s="542"/>
      <c r="AF63" s="542"/>
      <c r="AG63" s="542"/>
      <c r="AH63" s="542"/>
      <c r="AI63" s="542"/>
      <c r="AJ63" s="201"/>
      <c r="AK63" s="202"/>
      <c r="AL63" s="202"/>
      <c r="AM63" s="203"/>
      <c r="AN63" s="203"/>
    </row>
    <row r="64" spans="1:40">
      <c r="AJ64" s="201"/>
      <c r="AK64" s="202"/>
      <c r="AL64" s="202"/>
      <c r="AM64" s="203"/>
      <c r="AN64" s="203"/>
    </row>
    <row r="65" spans="1:40">
      <c r="A65" s="530" t="s">
        <v>248</v>
      </c>
      <c r="B65" s="530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0"/>
      <c r="S65" s="530"/>
      <c r="T65" s="530"/>
      <c r="U65" s="530"/>
      <c r="V65" s="530"/>
      <c r="W65" s="530"/>
      <c r="X65" s="530"/>
      <c r="Y65" s="530"/>
      <c r="Z65" s="530"/>
      <c r="AA65" s="530"/>
      <c r="AB65" s="530"/>
      <c r="AC65" s="530"/>
      <c r="AD65" s="530"/>
      <c r="AE65" s="530"/>
      <c r="AF65" s="530"/>
      <c r="AG65" s="530"/>
      <c r="AH65" s="530"/>
      <c r="AI65" s="530"/>
      <c r="AJ65" s="201"/>
      <c r="AK65" s="202"/>
      <c r="AL65" s="202"/>
      <c r="AM65" s="203"/>
      <c r="AN65" s="203"/>
    </row>
    <row r="66" spans="1:40">
      <c r="A66" s="526"/>
      <c r="B66" s="526"/>
      <c r="C66" s="526"/>
      <c r="D66" s="526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526"/>
      <c r="P66" s="526"/>
      <c r="Q66" s="526"/>
      <c r="R66" s="526"/>
      <c r="S66" s="526"/>
      <c r="T66" s="526"/>
      <c r="U66" s="526"/>
      <c r="V66" s="526"/>
      <c r="W66" s="526"/>
      <c r="X66" s="526"/>
      <c r="Y66" s="526"/>
      <c r="Z66" s="526"/>
      <c r="AA66" s="526"/>
      <c r="AB66" s="526"/>
      <c r="AC66" s="526"/>
      <c r="AD66" s="526"/>
      <c r="AE66" s="526"/>
      <c r="AF66" s="526"/>
      <c r="AG66" s="526"/>
      <c r="AH66" s="526"/>
      <c r="AI66" s="526"/>
      <c r="AJ66" s="212"/>
      <c r="AK66" s="212"/>
      <c r="AL66" s="212"/>
      <c r="AM66" s="213"/>
      <c r="AN66" s="203"/>
    </row>
    <row r="67" spans="1:40">
      <c r="A67" s="200" t="s">
        <v>174</v>
      </c>
      <c r="B67" s="543">
        <f>AJ75</f>
        <v>105.06</v>
      </c>
      <c r="C67" s="530"/>
      <c r="D67" s="200" t="s">
        <v>148</v>
      </c>
      <c r="E67" s="214" t="s">
        <v>175</v>
      </c>
      <c r="F67" s="205"/>
      <c r="G67" s="543">
        <f>AK75</f>
        <v>6</v>
      </c>
      <c r="H67" s="543"/>
      <c r="I67" s="200" t="s">
        <v>148</v>
      </c>
      <c r="J67" s="214"/>
      <c r="K67" s="199"/>
      <c r="L67" s="199"/>
      <c r="N67" s="198"/>
      <c r="P67" s="199"/>
      <c r="AJ67" s="201"/>
      <c r="AK67" s="201"/>
      <c r="AL67" s="201"/>
      <c r="AM67" s="201"/>
      <c r="AN67" s="203"/>
    </row>
    <row r="68" spans="1:40">
      <c r="A68" s="200" t="s">
        <v>420</v>
      </c>
      <c r="B68" s="204"/>
      <c r="C68" s="204"/>
      <c r="D68" s="204"/>
      <c r="E68" s="525">
        <v>32.479999999999997</v>
      </c>
      <c r="F68" s="525"/>
      <c r="G68" s="200" t="s">
        <v>85</v>
      </c>
      <c r="AJ68" s="201"/>
      <c r="AK68" s="202"/>
      <c r="AL68" s="202"/>
      <c r="AM68" s="203"/>
      <c r="AN68" s="203"/>
    </row>
    <row r="69" spans="1:40">
      <c r="A69" s="200" t="s">
        <v>174</v>
      </c>
      <c r="B69" s="532">
        <f>B67*G67+E68</f>
        <v>662.84</v>
      </c>
      <c r="C69" s="532"/>
      <c r="D69" s="532"/>
      <c r="E69" s="206" t="s">
        <v>85</v>
      </c>
      <c r="AJ69" s="201"/>
      <c r="AK69" s="202"/>
      <c r="AL69" s="202"/>
      <c r="AM69" s="203"/>
      <c r="AN69" s="203"/>
    </row>
    <row r="70" spans="1:40">
      <c r="F70" s="216"/>
      <c r="G70" s="216"/>
      <c r="N70" s="200"/>
      <c r="O70" s="200"/>
      <c r="S70" s="200"/>
      <c r="AJ70" s="201"/>
      <c r="AK70" s="202"/>
      <c r="AL70" s="202"/>
      <c r="AM70" s="203"/>
      <c r="AN70" s="203"/>
    </row>
    <row r="71" spans="1:40" ht="16.5" customHeight="1">
      <c r="A71" s="544" t="s">
        <v>372</v>
      </c>
      <c r="B71" s="544"/>
      <c r="C71" s="544"/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  <c r="Q71" s="544"/>
      <c r="R71" s="544"/>
      <c r="S71" s="544"/>
      <c r="T71" s="544"/>
      <c r="U71" s="544"/>
      <c r="V71" s="544"/>
      <c r="W71" s="544"/>
      <c r="X71" s="544"/>
      <c r="Y71" s="544"/>
      <c r="Z71" s="544"/>
      <c r="AA71" s="544"/>
      <c r="AB71" s="544"/>
      <c r="AC71" s="544"/>
      <c r="AD71" s="544"/>
      <c r="AE71" s="544"/>
      <c r="AF71" s="544"/>
      <c r="AG71" s="544"/>
      <c r="AH71" s="544"/>
      <c r="AI71" s="544"/>
      <c r="AJ71" s="201"/>
      <c r="AK71" s="202"/>
      <c r="AL71" s="202"/>
      <c r="AM71" s="203" t="s">
        <v>240</v>
      </c>
      <c r="AN71" s="203"/>
    </row>
    <row r="72" spans="1:40">
      <c r="AJ72" s="201"/>
      <c r="AK72" s="202"/>
      <c r="AL72" s="202"/>
      <c r="AM72" s="203">
        <v>3</v>
      </c>
      <c r="AN72" s="203"/>
    </row>
    <row r="73" spans="1:40">
      <c r="A73" s="530" t="s">
        <v>241</v>
      </c>
      <c r="B73" s="530"/>
      <c r="C73" s="530"/>
      <c r="D73" s="530"/>
      <c r="E73" s="530"/>
      <c r="F73" s="530"/>
      <c r="G73" s="530"/>
      <c r="H73" s="530"/>
      <c r="I73" s="530"/>
      <c r="J73" s="530"/>
      <c r="K73" s="530"/>
      <c r="L73" s="530"/>
      <c r="M73" s="530"/>
      <c r="N73" s="530"/>
      <c r="O73" s="530"/>
      <c r="P73" s="530"/>
      <c r="Q73" s="530"/>
      <c r="R73" s="530"/>
      <c r="S73" s="530"/>
      <c r="T73" s="530"/>
      <c r="U73" s="530"/>
      <c r="V73" s="530"/>
      <c r="W73" s="530"/>
      <c r="X73" s="530"/>
      <c r="Y73" s="530"/>
      <c r="Z73" s="530"/>
      <c r="AA73" s="530"/>
      <c r="AB73" s="530"/>
      <c r="AC73" s="530"/>
      <c r="AD73" s="530"/>
      <c r="AE73" s="530"/>
      <c r="AF73" s="530"/>
      <c r="AG73" s="530"/>
      <c r="AH73" s="530"/>
      <c r="AI73" s="530"/>
      <c r="AJ73" s="201"/>
      <c r="AK73" s="202"/>
      <c r="AL73" s="202"/>
      <c r="AM73" s="203"/>
      <c r="AN73" s="203"/>
    </row>
    <row r="74" spans="1:40">
      <c r="AJ74" s="212" t="s">
        <v>181</v>
      </c>
      <c r="AK74" s="212" t="s">
        <v>182</v>
      </c>
      <c r="AL74" s="212" t="s">
        <v>183</v>
      </c>
      <c r="AM74" s="213" t="s">
        <v>184</v>
      </c>
      <c r="AN74" s="203"/>
    </row>
    <row r="75" spans="1:40">
      <c r="A75" s="200" t="s">
        <v>174</v>
      </c>
      <c r="B75" s="543">
        <f>AJ75</f>
        <v>105.06</v>
      </c>
      <c r="C75" s="543"/>
      <c r="D75" s="200" t="s">
        <v>148</v>
      </c>
      <c r="E75" s="214" t="s">
        <v>175</v>
      </c>
      <c r="F75" s="205"/>
      <c r="G75" s="543">
        <f>AK75</f>
        <v>6</v>
      </c>
      <c r="H75" s="543"/>
      <c r="I75" s="200" t="s">
        <v>148</v>
      </c>
      <c r="J75" s="214"/>
      <c r="K75" s="543"/>
      <c r="L75" s="543"/>
      <c r="N75" s="198"/>
      <c r="O75" s="543"/>
      <c r="P75" s="543"/>
      <c r="AJ75" s="201">
        <v>105.06</v>
      </c>
      <c r="AK75" s="201">
        <v>6</v>
      </c>
      <c r="AL75" s="201">
        <v>1.05</v>
      </c>
      <c r="AM75" s="201">
        <v>1.05</v>
      </c>
      <c r="AN75" s="203"/>
    </row>
    <row r="76" spans="1:40">
      <c r="A76" s="200" t="s">
        <v>420</v>
      </c>
      <c r="B76" s="204"/>
      <c r="C76" s="204"/>
      <c r="D76" s="204"/>
      <c r="E76" s="525">
        <v>32.479999999999997</v>
      </c>
      <c r="F76" s="525"/>
      <c r="G76" s="200" t="s">
        <v>85</v>
      </c>
      <c r="AJ76" s="201"/>
      <c r="AK76" s="202"/>
      <c r="AL76" s="202"/>
      <c r="AM76" s="203"/>
      <c r="AN76" s="203"/>
    </row>
    <row r="77" spans="1:40">
      <c r="A77" s="200" t="s">
        <v>174</v>
      </c>
      <c r="B77" s="532">
        <f>AJ75*AK75+E76</f>
        <v>662.84</v>
      </c>
      <c r="C77" s="532"/>
      <c r="D77" s="532"/>
      <c r="E77" s="206" t="s">
        <v>85</v>
      </c>
      <c r="AJ77" s="201"/>
      <c r="AK77" s="202"/>
      <c r="AL77" s="202"/>
      <c r="AM77" s="203"/>
      <c r="AN77" s="203"/>
    </row>
    <row r="78" spans="1:40">
      <c r="AJ78" s="201"/>
      <c r="AK78" s="202"/>
      <c r="AL78" s="202"/>
      <c r="AM78" s="203"/>
      <c r="AN78" s="203"/>
    </row>
    <row r="79" spans="1:40" ht="30" customHeight="1">
      <c r="A79" s="544" t="s">
        <v>433</v>
      </c>
      <c r="B79" s="544"/>
      <c r="C79" s="544"/>
      <c r="D79" s="544"/>
      <c r="E79" s="544"/>
      <c r="F79" s="544"/>
      <c r="G79" s="544"/>
      <c r="H79" s="544"/>
      <c r="I79" s="544"/>
      <c r="J79" s="544"/>
      <c r="K79" s="544"/>
      <c r="L79" s="544"/>
      <c r="M79" s="544"/>
      <c r="N79" s="544"/>
      <c r="O79" s="544"/>
      <c r="P79" s="544"/>
      <c r="Q79" s="544"/>
      <c r="R79" s="544"/>
      <c r="S79" s="544"/>
      <c r="T79" s="544"/>
      <c r="U79" s="544"/>
      <c r="V79" s="544"/>
      <c r="W79" s="544"/>
      <c r="X79" s="544"/>
      <c r="Y79" s="544"/>
      <c r="Z79" s="544"/>
      <c r="AA79" s="544"/>
      <c r="AB79" s="544"/>
      <c r="AC79" s="544"/>
      <c r="AD79" s="544"/>
      <c r="AE79" s="544"/>
      <c r="AF79" s="544"/>
      <c r="AG79" s="544"/>
      <c r="AH79" s="544"/>
      <c r="AI79" s="544"/>
      <c r="AJ79" s="201"/>
      <c r="AK79" s="202"/>
      <c r="AL79" s="202"/>
      <c r="AM79" s="203"/>
      <c r="AN79" s="203"/>
    </row>
    <row r="80" spans="1:40">
      <c r="AJ80" s="201"/>
      <c r="AK80" s="202"/>
      <c r="AL80" s="202"/>
      <c r="AM80" s="203"/>
      <c r="AN80" s="203"/>
    </row>
    <row r="81" spans="1:40">
      <c r="A81" s="530" t="s">
        <v>242</v>
      </c>
      <c r="B81" s="530"/>
      <c r="C81" s="530"/>
      <c r="D81" s="530"/>
      <c r="E81" s="530"/>
      <c r="F81" s="530"/>
      <c r="G81" s="530"/>
      <c r="H81" s="530"/>
      <c r="I81" s="530"/>
      <c r="J81" s="530"/>
      <c r="K81" s="530"/>
      <c r="L81" s="530"/>
      <c r="M81" s="530"/>
      <c r="N81" s="530"/>
      <c r="O81" s="530"/>
      <c r="P81" s="530"/>
      <c r="Q81" s="530"/>
      <c r="R81" s="530"/>
      <c r="S81" s="530"/>
      <c r="T81" s="530"/>
      <c r="U81" s="530"/>
      <c r="V81" s="530"/>
      <c r="W81" s="530"/>
      <c r="X81" s="530"/>
      <c r="Y81" s="530"/>
      <c r="Z81" s="530"/>
      <c r="AA81" s="530"/>
      <c r="AB81" s="530"/>
      <c r="AC81" s="530"/>
      <c r="AD81" s="530"/>
      <c r="AE81" s="530"/>
      <c r="AF81" s="530"/>
      <c r="AG81" s="530"/>
      <c r="AH81" s="530"/>
      <c r="AI81" s="530"/>
      <c r="AJ81" s="201"/>
      <c r="AK81" s="202"/>
      <c r="AL81" s="202"/>
      <c r="AM81" s="203"/>
      <c r="AN81" s="203"/>
    </row>
    <row r="82" spans="1:40">
      <c r="A82" s="530" t="s">
        <v>243</v>
      </c>
      <c r="B82" s="530"/>
      <c r="C82" s="530"/>
      <c r="D82" s="530"/>
      <c r="E82" s="530"/>
      <c r="F82" s="530"/>
      <c r="G82" s="530"/>
      <c r="H82" s="530"/>
      <c r="I82" s="530"/>
      <c r="J82" s="530"/>
      <c r="K82" s="530"/>
      <c r="L82" s="530"/>
      <c r="M82" s="530"/>
      <c r="N82" s="530"/>
      <c r="O82" s="530"/>
      <c r="P82" s="530"/>
      <c r="Q82" s="530"/>
      <c r="R82" s="530"/>
      <c r="S82" s="530"/>
      <c r="T82" s="530"/>
      <c r="U82" s="530"/>
      <c r="V82" s="530"/>
      <c r="W82" s="530"/>
      <c r="X82" s="530"/>
      <c r="Y82" s="530"/>
      <c r="Z82" s="530"/>
      <c r="AA82" s="530"/>
      <c r="AB82" s="530"/>
      <c r="AC82" s="530"/>
      <c r="AD82" s="530"/>
      <c r="AE82" s="530"/>
      <c r="AF82" s="530"/>
      <c r="AG82" s="530"/>
      <c r="AH82" s="530"/>
      <c r="AI82" s="530"/>
      <c r="AJ82" s="201"/>
      <c r="AK82" s="202"/>
      <c r="AL82" s="202"/>
      <c r="AM82" s="203"/>
      <c r="AN82" s="203"/>
    </row>
    <row r="83" spans="1:40">
      <c r="AJ83" s="561"/>
      <c r="AK83" s="561"/>
      <c r="AL83" s="202"/>
      <c r="AM83" s="548"/>
      <c r="AN83" s="548"/>
    </row>
    <row r="84" spans="1:40">
      <c r="A84" s="526" t="s">
        <v>188</v>
      </c>
      <c r="B84" s="526"/>
      <c r="C84" s="526"/>
      <c r="D84" s="526"/>
      <c r="F84" s="531">
        <v>105.3</v>
      </c>
      <c r="G84" s="531"/>
      <c r="H84" s="200" t="s">
        <v>148</v>
      </c>
      <c r="AJ84" s="201"/>
      <c r="AK84" s="202"/>
      <c r="AL84" s="202"/>
      <c r="AM84" s="203"/>
      <c r="AN84" s="203"/>
    </row>
    <row r="85" spans="1:40">
      <c r="A85" s="526" t="s">
        <v>189</v>
      </c>
      <c r="B85" s="526"/>
      <c r="C85" s="526"/>
      <c r="D85" s="526"/>
      <c r="F85" s="531">
        <v>60.23</v>
      </c>
      <c r="G85" s="531"/>
      <c r="H85" s="200" t="s">
        <v>148</v>
      </c>
      <c r="AJ85" s="201"/>
      <c r="AK85" s="202"/>
      <c r="AL85" s="202"/>
      <c r="AM85" s="203"/>
      <c r="AN85" s="203"/>
    </row>
    <row r="86" spans="1:40">
      <c r="A86" s="526" t="s">
        <v>190</v>
      </c>
      <c r="B86" s="526"/>
      <c r="C86" s="526"/>
      <c r="D86" s="526"/>
      <c r="F86" s="531">
        <v>46.05</v>
      </c>
      <c r="G86" s="531"/>
      <c r="H86" s="200" t="s">
        <v>148</v>
      </c>
      <c r="AJ86" s="201"/>
      <c r="AK86" s="202"/>
      <c r="AL86" s="202"/>
      <c r="AM86" s="203"/>
      <c r="AN86" s="203"/>
    </row>
    <row r="87" spans="1:40">
      <c r="A87" s="215"/>
      <c r="B87" s="215"/>
      <c r="C87" s="215"/>
      <c r="D87" s="215"/>
      <c r="F87" s="216"/>
      <c r="G87" s="216"/>
      <c r="AJ87" s="201"/>
      <c r="AK87" s="202"/>
      <c r="AL87" s="202"/>
      <c r="AM87" s="203"/>
      <c r="AN87" s="203"/>
    </row>
    <row r="88" spans="1:40">
      <c r="A88" s="215" t="s">
        <v>185</v>
      </c>
      <c r="B88" s="215"/>
      <c r="C88" s="215"/>
      <c r="D88" s="215"/>
      <c r="F88" s="527">
        <f>SUM(F84:G86)</f>
        <v>211.58</v>
      </c>
      <c r="G88" s="527"/>
      <c r="H88" s="200" t="s">
        <v>148</v>
      </c>
      <c r="AJ88" s="201"/>
      <c r="AK88" s="202"/>
      <c r="AL88" s="202"/>
      <c r="AM88" s="203"/>
      <c r="AN88" s="203"/>
    </row>
    <row r="89" spans="1:40">
      <c r="A89" s="215"/>
      <c r="B89" s="215"/>
      <c r="C89" s="215"/>
      <c r="D89" s="215"/>
      <c r="F89" s="531"/>
      <c r="G89" s="531"/>
      <c r="AJ89" s="201"/>
      <c r="AK89" s="202"/>
      <c r="AL89" s="202"/>
      <c r="AM89" s="203"/>
      <c r="AN89" s="203"/>
    </row>
    <row r="90" spans="1:40" ht="15">
      <c r="A90" s="542" t="s">
        <v>422</v>
      </c>
      <c r="B90" s="542"/>
      <c r="C90" s="542"/>
      <c r="D90" s="542"/>
      <c r="E90" s="542"/>
      <c r="F90" s="542"/>
      <c r="G90" s="542"/>
      <c r="H90" s="542"/>
      <c r="I90" s="542"/>
      <c r="J90" s="542"/>
      <c r="K90" s="542"/>
      <c r="L90" s="542"/>
      <c r="M90" s="542"/>
      <c r="N90" s="542"/>
      <c r="O90" s="542"/>
      <c r="P90" s="542"/>
      <c r="Q90" s="542"/>
      <c r="R90" s="542"/>
      <c r="S90" s="542"/>
      <c r="T90" s="542"/>
      <c r="U90" s="542"/>
      <c r="V90" s="542"/>
      <c r="W90" s="542"/>
      <c r="X90" s="542"/>
      <c r="Y90" s="542"/>
      <c r="Z90" s="542"/>
      <c r="AA90" s="542"/>
      <c r="AB90" s="542"/>
      <c r="AC90" s="542"/>
      <c r="AD90" s="542"/>
      <c r="AE90" s="542"/>
      <c r="AF90" s="542"/>
      <c r="AG90" s="542"/>
      <c r="AH90" s="542"/>
      <c r="AI90" s="542"/>
      <c r="AJ90" s="201"/>
      <c r="AK90" s="202"/>
      <c r="AL90" s="202"/>
      <c r="AM90" s="203"/>
      <c r="AN90" s="203"/>
    </row>
    <row r="91" spans="1:40">
      <c r="AJ91" s="201"/>
      <c r="AK91" s="202"/>
      <c r="AL91" s="202"/>
      <c r="AM91" s="203"/>
      <c r="AN91" s="203"/>
    </row>
    <row r="92" spans="1:40">
      <c r="A92" s="530" t="s">
        <v>192</v>
      </c>
      <c r="B92" s="530"/>
      <c r="C92" s="530"/>
      <c r="D92" s="530"/>
      <c r="E92" s="530"/>
      <c r="F92" s="530"/>
      <c r="G92" s="530"/>
      <c r="H92" s="530"/>
      <c r="I92" s="530"/>
      <c r="J92" s="530"/>
      <c r="K92" s="530"/>
      <c r="L92" s="530"/>
      <c r="M92" s="530"/>
      <c r="N92" s="530"/>
      <c r="O92" s="530"/>
      <c r="P92" s="530"/>
      <c r="Q92" s="530"/>
      <c r="R92" s="530"/>
      <c r="S92" s="530"/>
      <c r="T92" s="530"/>
      <c r="U92" s="530"/>
      <c r="V92" s="530"/>
      <c r="W92" s="530"/>
      <c r="X92" s="530"/>
      <c r="Y92" s="530"/>
      <c r="Z92" s="530"/>
      <c r="AA92" s="530"/>
      <c r="AB92" s="530"/>
      <c r="AC92" s="530"/>
      <c r="AD92" s="530"/>
      <c r="AE92" s="530"/>
      <c r="AF92" s="530"/>
      <c r="AG92" s="530"/>
      <c r="AH92" s="530"/>
      <c r="AI92" s="530"/>
      <c r="AJ92" s="548" t="s">
        <v>193</v>
      </c>
      <c r="AK92" s="548"/>
      <c r="AL92" s="202"/>
      <c r="AM92" s="203"/>
      <c r="AN92" s="203"/>
    </row>
    <row r="93" spans="1:40">
      <c r="AJ93" s="202">
        <v>2</v>
      </c>
      <c r="AK93" s="203"/>
      <c r="AL93" s="202"/>
      <c r="AM93" s="203"/>
      <c r="AN93" s="203"/>
    </row>
    <row r="94" spans="1:40">
      <c r="A94" s="200" t="s">
        <v>174</v>
      </c>
      <c r="B94" s="543">
        <f>AK75</f>
        <v>6</v>
      </c>
      <c r="C94" s="543"/>
      <c r="D94" s="543"/>
      <c r="E94" s="200" t="s">
        <v>148</v>
      </c>
      <c r="F94" s="214" t="s">
        <v>175</v>
      </c>
      <c r="G94" s="543">
        <f>AJ93</f>
        <v>2</v>
      </c>
      <c r="H94" s="543"/>
      <c r="I94" s="200" t="s">
        <v>358</v>
      </c>
      <c r="J94" s="214"/>
      <c r="M94" s="199"/>
      <c r="P94" s="199"/>
      <c r="Q94" s="199"/>
      <c r="T94" s="199"/>
      <c r="AJ94" s="201"/>
      <c r="AK94" s="202"/>
      <c r="AL94" s="202"/>
      <c r="AM94" s="203"/>
      <c r="AN94" s="203"/>
    </row>
    <row r="95" spans="1:40">
      <c r="A95" s="200" t="s">
        <v>174</v>
      </c>
      <c r="B95" s="543">
        <f>B94*G94</f>
        <v>12</v>
      </c>
      <c r="C95" s="543"/>
      <c r="D95" s="543"/>
      <c r="E95" s="200" t="s">
        <v>148</v>
      </c>
      <c r="AJ95" s="201"/>
      <c r="AK95" s="202"/>
      <c r="AL95" s="202"/>
      <c r="AM95" s="203"/>
      <c r="AN95" s="203"/>
    </row>
    <row r="96" spans="1:40">
      <c r="AJ96" s="201"/>
      <c r="AK96" s="202"/>
      <c r="AL96" s="202"/>
      <c r="AM96" s="203"/>
      <c r="AN96" s="203"/>
    </row>
    <row r="97" spans="1:40" ht="15">
      <c r="A97" s="542" t="s">
        <v>423</v>
      </c>
      <c r="B97" s="542"/>
      <c r="C97" s="542"/>
      <c r="D97" s="542"/>
      <c r="E97" s="542"/>
      <c r="F97" s="542"/>
      <c r="G97" s="542"/>
      <c r="H97" s="542"/>
      <c r="I97" s="542"/>
      <c r="J97" s="542"/>
      <c r="K97" s="542"/>
      <c r="L97" s="542"/>
      <c r="M97" s="542"/>
      <c r="N97" s="542"/>
      <c r="O97" s="542"/>
      <c r="P97" s="542"/>
      <c r="Q97" s="542"/>
      <c r="R97" s="542"/>
      <c r="S97" s="542"/>
      <c r="T97" s="542"/>
      <c r="U97" s="542"/>
      <c r="V97" s="542"/>
      <c r="W97" s="542"/>
      <c r="X97" s="542"/>
      <c r="Y97" s="542"/>
      <c r="Z97" s="542"/>
      <c r="AA97" s="542"/>
      <c r="AB97" s="542"/>
      <c r="AC97" s="542"/>
      <c r="AD97" s="542"/>
      <c r="AE97" s="542"/>
      <c r="AF97" s="542"/>
      <c r="AG97" s="542"/>
      <c r="AH97" s="542"/>
      <c r="AI97" s="542"/>
      <c r="AJ97" s="201"/>
      <c r="AK97" s="202"/>
      <c r="AL97" s="202"/>
      <c r="AM97" s="203"/>
      <c r="AN97" s="203"/>
    </row>
    <row r="98" spans="1:40">
      <c r="AJ98" s="201"/>
      <c r="AK98" s="202"/>
      <c r="AL98" s="202"/>
      <c r="AM98" s="203"/>
      <c r="AN98" s="203"/>
    </row>
    <row r="99" spans="1:40">
      <c r="A99" s="530" t="s">
        <v>244</v>
      </c>
      <c r="B99" s="530"/>
      <c r="C99" s="530"/>
      <c r="D99" s="530"/>
      <c r="E99" s="530"/>
      <c r="F99" s="530"/>
      <c r="G99" s="530"/>
      <c r="H99" s="530"/>
      <c r="I99" s="530"/>
      <c r="J99" s="530"/>
      <c r="K99" s="530"/>
      <c r="L99" s="530"/>
      <c r="M99" s="530"/>
      <c r="N99" s="530"/>
      <c r="O99" s="530"/>
      <c r="P99" s="530"/>
      <c r="Q99" s="530"/>
      <c r="R99" s="530"/>
      <c r="S99" s="530"/>
      <c r="T99" s="530"/>
      <c r="U99" s="530"/>
      <c r="V99" s="530"/>
      <c r="W99" s="530"/>
      <c r="X99" s="530"/>
      <c r="Y99" s="530"/>
      <c r="Z99" s="530"/>
      <c r="AA99" s="530"/>
      <c r="AB99" s="530"/>
      <c r="AC99" s="530"/>
      <c r="AD99" s="530"/>
      <c r="AE99" s="530"/>
      <c r="AF99" s="530"/>
      <c r="AG99" s="530"/>
      <c r="AH99" s="530"/>
      <c r="AI99" s="530"/>
      <c r="AJ99" s="201"/>
      <c r="AK99" s="202"/>
      <c r="AL99" s="202"/>
      <c r="AM99" s="203"/>
      <c r="AN99" s="203"/>
    </row>
    <row r="100" spans="1:40">
      <c r="A100" s="530" t="s">
        <v>245</v>
      </c>
      <c r="B100" s="530"/>
      <c r="C100" s="530"/>
      <c r="D100" s="530"/>
      <c r="E100" s="530"/>
      <c r="F100" s="530"/>
      <c r="G100" s="530"/>
      <c r="H100" s="530"/>
      <c r="I100" s="530"/>
      <c r="J100" s="530"/>
      <c r="K100" s="530"/>
      <c r="L100" s="530"/>
      <c r="M100" s="530"/>
      <c r="N100" s="530"/>
      <c r="O100" s="530"/>
      <c r="P100" s="530"/>
      <c r="Q100" s="530"/>
      <c r="R100" s="530"/>
      <c r="S100" s="530"/>
      <c r="T100" s="530"/>
      <c r="U100" s="530"/>
      <c r="V100" s="530"/>
      <c r="W100" s="530"/>
      <c r="X100" s="530"/>
      <c r="Y100" s="530"/>
      <c r="Z100" s="530"/>
      <c r="AA100" s="530"/>
      <c r="AB100" s="530"/>
      <c r="AC100" s="530"/>
      <c r="AD100" s="530"/>
      <c r="AE100" s="530"/>
      <c r="AF100" s="530"/>
      <c r="AG100" s="530"/>
      <c r="AH100" s="530"/>
      <c r="AI100" s="530"/>
      <c r="AJ100" s="201"/>
      <c r="AK100" s="202"/>
      <c r="AL100" s="202"/>
      <c r="AM100" s="203"/>
      <c r="AN100" s="203"/>
    </row>
    <row r="101" spans="1:40">
      <c r="AJ101" s="201"/>
      <c r="AK101" s="202"/>
      <c r="AL101" s="202"/>
      <c r="AM101" s="203"/>
      <c r="AN101" s="203"/>
    </row>
    <row r="102" spans="1:40" ht="30" customHeight="1">
      <c r="A102" s="538" t="s">
        <v>195</v>
      </c>
      <c r="B102" s="538"/>
      <c r="C102" s="538"/>
      <c r="D102" s="538"/>
      <c r="E102" s="538"/>
      <c r="F102" s="538"/>
      <c r="G102" s="538"/>
      <c r="H102" s="538"/>
      <c r="I102" s="538"/>
      <c r="J102" s="538"/>
      <c r="K102" s="538"/>
      <c r="L102" s="538"/>
      <c r="M102" s="538"/>
      <c r="N102" s="538"/>
      <c r="O102" s="538"/>
      <c r="P102" s="538"/>
      <c r="Q102" s="538"/>
      <c r="R102" s="538"/>
      <c r="S102" s="538"/>
      <c r="T102" s="538"/>
      <c r="U102" s="538"/>
      <c r="V102" s="538"/>
      <c r="W102" s="538"/>
      <c r="X102" s="538"/>
      <c r="Y102" s="538"/>
      <c r="Z102" s="538"/>
      <c r="AA102" s="538"/>
      <c r="AB102" s="538"/>
      <c r="AC102" s="538"/>
      <c r="AD102" s="538"/>
      <c r="AE102" s="538"/>
      <c r="AF102" s="538"/>
      <c r="AG102" s="538"/>
      <c r="AH102" s="538"/>
      <c r="AI102" s="538"/>
      <c r="AJ102" s="201"/>
      <c r="AK102" s="202"/>
      <c r="AL102" s="202"/>
      <c r="AM102" s="203"/>
      <c r="AN102" s="203"/>
    </row>
    <row r="103" spans="1:40">
      <c r="AJ103" s="201"/>
      <c r="AK103" s="202"/>
      <c r="AL103" s="202"/>
      <c r="AM103" s="203"/>
      <c r="AN103" s="203"/>
    </row>
    <row r="104" spans="1:40">
      <c r="A104" s="526" t="s">
        <v>188</v>
      </c>
      <c r="B104" s="526"/>
      <c r="C104" s="526"/>
      <c r="D104" s="526"/>
      <c r="F104" s="531">
        <v>105.29</v>
      </c>
      <c r="G104" s="531"/>
      <c r="H104" s="526" t="s">
        <v>196</v>
      </c>
      <c r="I104" s="526"/>
      <c r="J104" s="531">
        <v>1</v>
      </c>
      <c r="K104" s="531"/>
      <c r="L104" s="526" t="s">
        <v>197</v>
      </c>
      <c r="M104" s="526"/>
      <c r="N104" s="532">
        <f>F104*J104</f>
        <v>105.29</v>
      </c>
      <c r="O104" s="532"/>
      <c r="P104" s="200" t="s">
        <v>148</v>
      </c>
      <c r="AJ104" s="201"/>
      <c r="AK104" s="202"/>
      <c r="AL104" s="202"/>
      <c r="AM104" s="203"/>
      <c r="AN104" s="203"/>
    </row>
    <row r="105" spans="1:40">
      <c r="A105" s="526" t="s">
        <v>189</v>
      </c>
      <c r="B105" s="526"/>
      <c r="C105" s="526"/>
      <c r="D105" s="526"/>
      <c r="F105" s="531">
        <v>60.23</v>
      </c>
      <c r="G105" s="531"/>
      <c r="H105" s="526" t="s">
        <v>196</v>
      </c>
      <c r="I105" s="526"/>
      <c r="J105" s="531">
        <v>1</v>
      </c>
      <c r="K105" s="531"/>
      <c r="L105" s="526" t="s">
        <v>197</v>
      </c>
      <c r="M105" s="526"/>
      <c r="N105" s="532">
        <f>F105*J105</f>
        <v>60.23</v>
      </c>
      <c r="O105" s="532"/>
      <c r="P105" s="200" t="s">
        <v>148</v>
      </c>
      <c r="AJ105" s="201"/>
      <c r="AK105" s="202"/>
      <c r="AL105" s="202"/>
      <c r="AM105" s="203"/>
      <c r="AN105" s="203"/>
    </row>
    <row r="106" spans="1:40">
      <c r="A106" s="526" t="s">
        <v>189</v>
      </c>
      <c r="B106" s="526"/>
      <c r="C106" s="526"/>
      <c r="D106" s="526"/>
      <c r="F106" s="531">
        <v>46.05</v>
      </c>
      <c r="G106" s="531"/>
      <c r="H106" s="526" t="s">
        <v>196</v>
      </c>
      <c r="I106" s="526"/>
      <c r="J106" s="531">
        <v>1</v>
      </c>
      <c r="K106" s="531"/>
      <c r="L106" s="526" t="s">
        <v>197</v>
      </c>
      <c r="M106" s="526"/>
      <c r="N106" s="532">
        <f>F106*J106</f>
        <v>46.05</v>
      </c>
      <c r="O106" s="532"/>
      <c r="P106" s="200" t="s">
        <v>148</v>
      </c>
      <c r="AJ106" s="201"/>
      <c r="AK106" s="202"/>
      <c r="AL106" s="202"/>
      <c r="AM106" s="203"/>
      <c r="AN106" s="203"/>
    </row>
    <row r="107" spans="1:40">
      <c r="A107" s="200" t="s">
        <v>185</v>
      </c>
      <c r="C107" s="531">
        <f>SUM(N104:O106)</f>
        <v>211.57</v>
      </c>
      <c r="D107" s="533"/>
      <c r="E107" s="526" t="s">
        <v>196</v>
      </c>
      <c r="F107" s="526"/>
      <c r="G107" s="532">
        <f>AL75</f>
        <v>1.05</v>
      </c>
      <c r="H107" s="533"/>
      <c r="I107" s="526" t="s">
        <v>198</v>
      </c>
      <c r="J107" s="526"/>
      <c r="K107" s="525">
        <f>C107*G107</f>
        <v>222.15</v>
      </c>
      <c r="L107" s="525"/>
      <c r="M107" s="200" t="s">
        <v>85</v>
      </c>
      <c r="N107" s="204"/>
      <c r="O107" s="204"/>
      <c r="AJ107" s="201"/>
      <c r="AK107" s="202"/>
      <c r="AL107" s="202"/>
      <c r="AM107" s="203"/>
      <c r="AN107" s="203"/>
    </row>
    <row r="108" spans="1:40">
      <c r="F108" s="216"/>
      <c r="G108" s="216"/>
      <c r="H108" s="215"/>
      <c r="I108" s="215"/>
      <c r="J108" s="216"/>
      <c r="K108" s="216"/>
      <c r="L108" s="215"/>
      <c r="M108" s="215"/>
      <c r="N108" s="204"/>
      <c r="O108" s="204"/>
      <c r="AJ108" s="201"/>
      <c r="AK108" s="202"/>
      <c r="AL108" s="202"/>
      <c r="AM108" s="203"/>
      <c r="AN108" s="203"/>
    </row>
    <row r="109" spans="1:40">
      <c r="A109" s="200" t="s">
        <v>199</v>
      </c>
      <c r="E109" s="205"/>
      <c r="F109" s="205"/>
      <c r="H109" s="216"/>
      <c r="I109" s="216"/>
      <c r="J109" s="215"/>
      <c r="K109" s="215"/>
      <c r="L109" s="216"/>
      <c r="M109" s="216"/>
      <c r="AJ109" s="201"/>
      <c r="AK109" s="202"/>
      <c r="AL109" s="202"/>
      <c r="AM109" s="203"/>
      <c r="AN109" s="203"/>
    </row>
    <row r="110" spans="1:40">
      <c r="A110" s="526" t="s">
        <v>200</v>
      </c>
      <c r="B110" s="526"/>
      <c r="C110" s="526"/>
      <c r="D110" s="526"/>
      <c r="F110" s="531">
        <f>C138</f>
        <v>45.64</v>
      </c>
      <c r="G110" s="531"/>
      <c r="H110" s="526" t="s">
        <v>85</v>
      </c>
      <c r="I110" s="526"/>
      <c r="J110" s="531"/>
      <c r="K110" s="531"/>
      <c r="L110" s="526"/>
      <c r="M110" s="526"/>
      <c r="N110" s="532"/>
      <c r="O110" s="532"/>
      <c r="AJ110" s="201"/>
      <c r="AK110" s="202"/>
      <c r="AL110" s="202"/>
      <c r="AM110" s="203"/>
      <c r="AN110" s="203"/>
    </row>
    <row r="111" spans="1:40">
      <c r="A111" s="200" t="s">
        <v>201</v>
      </c>
      <c r="F111" s="531">
        <v>8.5</v>
      </c>
      <c r="G111" s="531"/>
      <c r="H111" s="526" t="s">
        <v>196</v>
      </c>
      <c r="I111" s="526"/>
      <c r="J111" s="531">
        <f>B119</f>
        <v>4</v>
      </c>
      <c r="K111" s="531"/>
      <c r="L111" s="526" t="s">
        <v>202</v>
      </c>
      <c r="M111" s="526"/>
      <c r="N111" s="532">
        <v>1.05</v>
      </c>
      <c r="O111" s="532"/>
      <c r="P111" s="200" t="s">
        <v>203</v>
      </c>
      <c r="Q111" s="527">
        <f>F111*J111*N111</f>
        <v>35.700000000000003</v>
      </c>
      <c r="R111" s="527"/>
      <c r="S111" s="199" t="s">
        <v>85</v>
      </c>
      <c r="AJ111" s="201"/>
      <c r="AK111" s="202"/>
      <c r="AL111" s="202"/>
      <c r="AM111" s="203"/>
      <c r="AN111" s="203"/>
    </row>
    <row r="112" spans="1:40">
      <c r="A112" s="200" t="s">
        <v>204</v>
      </c>
      <c r="F112" s="531">
        <f>K107</f>
        <v>222.15</v>
      </c>
      <c r="G112" s="533"/>
      <c r="H112" s="526" t="s">
        <v>205</v>
      </c>
      <c r="I112" s="526"/>
      <c r="J112" s="531">
        <f>SUM(F110,Q111)</f>
        <v>81.34</v>
      </c>
      <c r="K112" s="533"/>
      <c r="L112" s="526" t="s">
        <v>206</v>
      </c>
      <c r="M112" s="526"/>
      <c r="N112" s="525">
        <f>F112-J112</f>
        <v>140.81</v>
      </c>
      <c r="O112" s="525"/>
      <c r="P112" s="200" t="s">
        <v>85</v>
      </c>
      <c r="AJ112" s="201"/>
      <c r="AK112" s="202"/>
      <c r="AL112" s="202"/>
      <c r="AM112" s="203"/>
      <c r="AN112" s="203"/>
    </row>
    <row r="113" spans="1:40">
      <c r="AJ113" s="201"/>
      <c r="AK113" s="202"/>
      <c r="AL113" s="202"/>
      <c r="AM113" s="203"/>
      <c r="AN113" s="203"/>
    </row>
    <row r="114" spans="1:40">
      <c r="AJ114" s="201"/>
      <c r="AK114" s="202"/>
      <c r="AL114" s="202"/>
      <c r="AM114" s="203"/>
      <c r="AN114" s="203"/>
    </row>
    <row r="115" spans="1:40" ht="30" customHeight="1">
      <c r="A115" s="544" t="s">
        <v>429</v>
      </c>
      <c r="B115" s="544"/>
      <c r="C115" s="544"/>
      <c r="D115" s="544"/>
      <c r="E115" s="544"/>
      <c r="F115" s="544"/>
      <c r="G115" s="544"/>
      <c r="H115" s="544"/>
      <c r="I115" s="544"/>
      <c r="J115" s="544"/>
      <c r="K115" s="544"/>
      <c r="L115" s="544"/>
      <c r="M115" s="544"/>
      <c r="N115" s="544"/>
      <c r="O115" s="544"/>
      <c r="P115" s="544"/>
      <c r="Q115" s="544"/>
      <c r="R115" s="544"/>
      <c r="S115" s="544"/>
      <c r="T115" s="544"/>
      <c r="U115" s="544"/>
      <c r="V115" s="544"/>
      <c r="W115" s="544"/>
      <c r="X115" s="544"/>
      <c r="Y115" s="544"/>
      <c r="Z115" s="544"/>
      <c r="AA115" s="544"/>
      <c r="AB115" s="544"/>
      <c r="AC115" s="544"/>
      <c r="AD115" s="544"/>
      <c r="AE115" s="544"/>
      <c r="AF115" s="544"/>
      <c r="AG115" s="544"/>
      <c r="AH115" s="544"/>
      <c r="AI115" s="544"/>
      <c r="AJ115" s="201"/>
      <c r="AK115" s="202"/>
      <c r="AL115" s="202"/>
      <c r="AM115" s="203"/>
      <c r="AN115" s="203"/>
    </row>
    <row r="116" spans="1:40">
      <c r="AJ116" s="201"/>
      <c r="AK116" s="202"/>
      <c r="AL116" s="202"/>
      <c r="AM116" s="203"/>
      <c r="AN116" s="203"/>
    </row>
    <row r="117" spans="1:40">
      <c r="A117" s="530" t="s">
        <v>207</v>
      </c>
      <c r="B117" s="530"/>
      <c r="C117" s="530"/>
      <c r="D117" s="530"/>
      <c r="E117" s="530"/>
      <c r="F117" s="530"/>
      <c r="G117" s="530"/>
      <c r="H117" s="530"/>
      <c r="I117" s="530"/>
      <c r="J117" s="530"/>
      <c r="K117" s="530"/>
      <c r="L117" s="530"/>
      <c r="M117" s="530"/>
      <c r="N117" s="530"/>
      <c r="O117" s="530"/>
      <c r="P117" s="530"/>
      <c r="Q117" s="530"/>
      <c r="R117" s="530"/>
      <c r="S117" s="530"/>
      <c r="T117" s="530"/>
      <c r="U117" s="530"/>
      <c r="V117" s="530"/>
      <c r="W117" s="530"/>
      <c r="X117" s="530"/>
      <c r="Y117" s="530"/>
      <c r="Z117" s="530"/>
      <c r="AA117" s="530"/>
      <c r="AB117" s="530"/>
      <c r="AC117" s="530"/>
      <c r="AD117" s="530"/>
      <c r="AE117" s="530"/>
      <c r="AF117" s="530"/>
      <c r="AG117" s="530"/>
      <c r="AH117" s="530"/>
      <c r="AI117" s="530"/>
      <c r="AJ117" s="201"/>
      <c r="AK117" s="202"/>
      <c r="AL117" s="202"/>
      <c r="AM117" s="203"/>
      <c r="AN117" s="203"/>
    </row>
    <row r="118" spans="1:40">
      <c r="AJ118" s="201" t="s">
        <v>234</v>
      </c>
      <c r="AK118" s="202"/>
      <c r="AL118" s="202"/>
      <c r="AM118" s="203"/>
      <c r="AN118" s="203"/>
    </row>
    <row r="119" spans="1:40">
      <c r="A119" s="200" t="s">
        <v>179</v>
      </c>
      <c r="B119" s="543">
        <f>AJ119</f>
        <v>4</v>
      </c>
      <c r="C119" s="543"/>
      <c r="D119" s="530" t="s">
        <v>102</v>
      </c>
      <c r="E119" s="530"/>
      <c r="AJ119" s="201">
        <v>4</v>
      </c>
      <c r="AK119" s="202"/>
      <c r="AL119" s="202"/>
      <c r="AM119" s="203"/>
      <c r="AN119" s="203"/>
    </row>
    <row r="120" spans="1:40">
      <c r="AJ120" s="201"/>
      <c r="AK120" s="202"/>
      <c r="AL120" s="202"/>
      <c r="AM120" s="203"/>
      <c r="AN120" s="203"/>
    </row>
    <row r="121" spans="1:40" ht="31.5" customHeight="1">
      <c r="A121" s="544" t="s">
        <v>425</v>
      </c>
      <c r="B121" s="544"/>
      <c r="C121" s="544"/>
      <c r="D121" s="544"/>
      <c r="E121" s="544"/>
      <c r="F121" s="544"/>
      <c r="G121" s="544"/>
      <c r="H121" s="544"/>
      <c r="I121" s="544"/>
      <c r="J121" s="544"/>
      <c r="K121" s="544"/>
      <c r="L121" s="544"/>
      <c r="M121" s="544"/>
      <c r="N121" s="544"/>
      <c r="O121" s="544"/>
      <c r="P121" s="544"/>
      <c r="Q121" s="544"/>
      <c r="R121" s="544"/>
      <c r="S121" s="544"/>
      <c r="T121" s="544"/>
      <c r="U121" s="544"/>
      <c r="V121" s="544"/>
      <c r="W121" s="544"/>
      <c r="X121" s="544"/>
      <c r="Y121" s="544"/>
      <c r="Z121" s="544"/>
      <c r="AA121" s="544"/>
      <c r="AB121" s="544"/>
      <c r="AC121" s="544"/>
      <c r="AD121" s="544"/>
      <c r="AE121" s="544"/>
      <c r="AF121" s="544"/>
      <c r="AG121" s="544"/>
      <c r="AH121" s="544"/>
      <c r="AI121" s="544"/>
      <c r="AJ121" s="201"/>
      <c r="AK121" s="202"/>
      <c r="AL121" s="202"/>
      <c r="AM121" s="203"/>
      <c r="AN121" s="218"/>
    </row>
    <row r="122" spans="1:40">
      <c r="AJ122" s="201"/>
      <c r="AK122" s="202"/>
      <c r="AL122" s="202"/>
      <c r="AM122" s="203"/>
      <c r="AN122" s="203"/>
    </row>
    <row r="123" spans="1:40">
      <c r="A123" s="200" t="s">
        <v>208</v>
      </c>
      <c r="AJ123" s="201"/>
      <c r="AK123" s="202"/>
      <c r="AL123" s="202"/>
      <c r="AM123" s="203"/>
      <c r="AN123" s="203"/>
    </row>
    <row r="124" spans="1:40">
      <c r="AJ124" s="201"/>
      <c r="AK124" s="202"/>
      <c r="AL124" s="202"/>
      <c r="AM124" s="203"/>
      <c r="AN124" s="203"/>
    </row>
    <row r="125" spans="1:40">
      <c r="A125" s="526" t="s">
        <v>188</v>
      </c>
      <c r="B125" s="526"/>
      <c r="C125" s="526"/>
      <c r="D125" s="526"/>
      <c r="F125" s="531">
        <f>F104</f>
        <v>105.29</v>
      </c>
      <c r="G125" s="531"/>
      <c r="H125" s="526" t="s">
        <v>196</v>
      </c>
      <c r="I125" s="526"/>
      <c r="J125" s="531">
        <v>1</v>
      </c>
      <c r="K125" s="531"/>
      <c r="L125" s="526" t="s">
        <v>197</v>
      </c>
      <c r="M125" s="526"/>
      <c r="N125" s="532">
        <f>F125*J125</f>
        <v>105.29</v>
      </c>
      <c r="O125" s="532"/>
      <c r="P125" s="200" t="s">
        <v>148</v>
      </c>
      <c r="AJ125" s="201"/>
      <c r="AK125" s="202"/>
      <c r="AL125" s="202"/>
      <c r="AM125" s="203"/>
      <c r="AN125" s="203"/>
    </row>
    <row r="126" spans="1:40">
      <c r="A126" s="526" t="s">
        <v>189</v>
      </c>
      <c r="B126" s="526"/>
      <c r="C126" s="526"/>
      <c r="D126" s="526"/>
      <c r="F126" s="531">
        <f>F105</f>
        <v>60.23</v>
      </c>
      <c r="G126" s="531"/>
      <c r="H126" s="526" t="s">
        <v>196</v>
      </c>
      <c r="I126" s="526"/>
      <c r="J126" s="531">
        <v>1</v>
      </c>
      <c r="K126" s="531"/>
      <c r="L126" s="526" t="s">
        <v>197</v>
      </c>
      <c r="M126" s="526"/>
      <c r="N126" s="532">
        <f>F126*J126</f>
        <v>60.23</v>
      </c>
      <c r="O126" s="532"/>
      <c r="P126" s="200" t="s">
        <v>148</v>
      </c>
      <c r="AJ126" s="201"/>
      <c r="AK126" s="202"/>
      <c r="AL126" s="202"/>
      <c r="AM126" s="203"/>
      <c r="AN126" s="203"/>
    </row>
    <row r="127" spans="1:40">
      <c r="A127" s="526" t="s">
        <v>190</v>
      </c>
      <c r="B127" s="526"/>
      <c r="C127" s="526"/>
      <c r="D127" s="526"/>
      <c r="F127" s="531">
        <f>F106</f>
        <v>46.05</v>
      </c>
      <c r="G127" s="531"/>
      <c r="H127" s="526" t="s">
        <v>196</v>
      </c>
      <c r="I127" s="526"/>
      <c r="J127" s="531">
        <v>1</v>
      </c>
      <c r="K127" s="531"/>
      <c r="L127" s="526" t="s">
        <v>197</v>
      </c>
      <c r="M127" s="526"/>
      <c r="N127" s="532">
        <f>F127*J127</f>
        <v>46.05</v>
      </c>
      <c r="O127" s="532"/>
      <c r="P127" s="200" t="s">
        <v>148</v>
      </c>
      <c r="AJ127" s="201"/>
      <c r="AK127" s="202"/>
      <c r="AL127" s="202"/>
      <c r="AM127" s="203"/>
      <c r="AN127" s="203"/>
    </row>
    <row r="128" spans="1:40">
      <c r="A128" s="215"/>
      <c r="B128" s="215"/>
      <c r="C128" s="215"/>
      <c r="D128" s="215"/>
      <c r="F128" s="216"/>
      <c r="G128" s="216"/>
      <c r="H128" s="215"/>
      <c r="I128" s="215"/>
      <c r="J128" s="216"/>
      <c r="K128" s="216"/>
      <c r="L128" s="215"/>
      <c r="M128" s="215"/>
      <c r="N128" s="204"/>
      <c r="O128" s="204"/>
      <c r="AJ128" s="201"/>
      <c r="AK128" s="202"/>
      <c r="AL128" s="202"/>
      <c r="AM128" s="203"/>
      <c r="AN128" s="203"/>
    </row>
    <row r="129" spans="1:40">
      <c r="A129" s="200" t="s">
        <v>199</v>
      </c>
      <c r="E129" s="205"/>
      <c r="F129" s="205"/>
      <c r="H129" s="216"/>
      <c r="I129" s="216"/>
      <c r="J129" s="215"/>
      <c r="K129" s="215"/>
      <c r="L129" s="216"/>
      <c r="M129" s="216"/>
      <c r="AJ129" s="201"/>
      <c r="AK129" s="202"/>
      <c r="AL129" s="202"/>
      <c r="AM129" s="203"/>
      <c r="AN129" s="203"/>
    </row>
    <row r="130" spans="1:40">
      <c r="A130" s="526" t="s">
        <v>201</v>
      </c>
      <c r="B130" s="526"/>
      <c r="C130" s="526"/>
      <c r="D130" s="526"/>
      <c r="F130" s="531">
        <v>8.5</v>
      </c>
      <c r="G130" s="531"/>
      <c r="H130" s="526" t="s">
        <v>196</v>
      </c>
      <c r="I130" s="526"/>
      <c r="J130" s="531">
        <f>B119</f>
        <v>4</v>
      </c>
      <c r="K130" s="531"/>
      <c r="L130" s="526" t="s">
        <v>197</v>
      </c>
      <c r="M130" s="526"/>
      <c r="N130" s="532">
        <f>F130*J130</f>
        <v>34</v>
      </c>
      <c r="O130" s="532"/>
      <c r="P130" s="200" t="s">
        <v>148</v>
      </c>
      <c r="AJ130" s="201"/>
      <c r="AK130" s="202"/>
      <c r="AL130" s="202"/>
      <c r="AM130" s="203"/>
      <c r="AN130" s="203"/>
    </row>
    <row r="131" spans="1:40">
      <c r="A131" s="526" t="s">
        <v>209</v>
      </c>
      <c r="B131" s="526"/>
      <c r="C131" s="526"/>
      <c r="D131" s="526"/>
      <c r="F131" s="531">
        <v>0.5</v>
      </c>
      <c r="G131" s="531"/>
      <c r="H131" s="526" t="s">
        <v>196</v>
      </c>
      <c r="I131" s="526"/>
      <c r="J131" s="531">
        <f>J136</f>
        <v>10</v>
      </c>
      <c r="K131" s="531"/>
      <c r="L131" s="526" t="s">
        <v>197</v>
      </c>
      <c r="M131" s="526"/>
      <c r="N131" s="532">
        <f>F131*J131</f>
        <v>5</v>
      </c>
      <c r="O131" s="532"/>
      <c r="P131" s="200" t="s">
        <v>148</v>
      </c>
      <c r="T131" s="199"/>
      <c r="U131" s="199"/>
      <c r="AJ131" s="201"/>
      <c r="AK131" s="202"/>
      <c r="AL131" s="202"/>
      <c r="AM131" s="203"/>
      <c r="AN131" s="203"/>
    </row>
    <row r="132" spans="1:40">
      <c r="A132" s="200" t="s">
        <v>210</v>
      </c>
      <c r="F132" s="531">
        <f>SUM(N125:O127)-SUM(N130:O131)</f>
        <v>172.57</v>
      </c>
      <c r="G132" s="533"/>
      <c r="H132" s="200" t="s">
        <v>211</v>
      </c>
      <c r="I132" s="533">
        <v>0.25</v>
      </c>
      <c r="J132" s="533"/>
      <c r="K132" s="200" t="s">
        <v>212</v>
      </c>
      <c r="L132" s="525">
        <f>F132*I132</f>
        <v>43.14</v>
      </c>
      <c r="M132" s="528"/>
      <c r="N132" s="199" t="s">
        <v>85</v>
      </c>
      <c r="AJ132" s="201"/>
      <c r="AK132" s="202"/>
      <c r="AL132" s="202"/>
      <c r="AM132" s="203"/>
      <c r="AN132" s="203"/>
    </row>
    <row r="133" spans="1:40">
      <c r="AJ133" s="201"/>
      <c r="AK133" s="202"/>
      <c r="AL133" s="202"/>
      <c r="AM133" s="203"/>
      <c r="AN133" s="203"/>
    </row>
    <row r="134" spans="1:40">
      <c r="A134" s="200" t="s">
        <v>213</v>
      </c>
      <c r="AJ134" s="201"/>
      <c r="AK134" s="202"/>
      <c r="AL134" s="202"/>
      <c r="AM134" s="203"/>
      <c r="AN134" s="203"/>
    </row>
    <row r="135" spans="1:40">
      <c r="E135" s="533"/>
      <c r="F135" s="533"/>
      <c r="H135" s="527"/>
      <c r="I135" s="527"/>
      <c r="J135" s="526"/>
      <c r="K135" s="526"/>
      <c r="L135" s="531"/>
      <c r="M135" s="531"/>
      <c r="AJ135" s="201"/>
      <c r="AK135" s="202"/>
      <c r="AL135" s="202"/>
      <c r="AM135" s="203"/>
      <c r="AN135" s="203"/>
    </row>
    <row r="136" spans="1:40">
      <c r="A136" s="526" t="s">
        <v>209</v>
      </c>
      <c r="B136" s="526"/>
      <c r="C136" s="526"/>
      <c r="D136" s="526"/>
      <c r="F136" s="531">
        <v>0.25</v>
      </c>
      <c r="G136" s="531"/>
      <c r="H136" s="526" t="s">
        <v>214</v>
      </c>
      <c r="I136" s="526"/>
      <c r="J136" s="531">
        <v>10</v>
      </c>
      <c r="K136" s="531"/>
      <c r="L136" s="526" t="s">
        <v>197</v>
      </c>
      <c r="M136" s="526"/>
      <c r="N136" s="532">
        <f>F136*J136</f>
        <v>2.5</v>
      </c>
      <c r="O136" s="532"/>
      <c r="P136" s="200" t="s">
        <v>85</v>
      </c>
      <c r="AJ136" s="201"/>
      <c r="AK136" s="202"/>
      <c r="AL136" s="202"/>
      <c r="AM136" s="203"/>
      <c r="AN136" s="203"/>
    </row>
    <row r="137" spans="1:40">
      <c r="E137" s="205"/>
      <c r="F137" s="205"/>
      <c r="H137" s="219"/>
      <c r="I137" s="219"/>
      <c r="J137" s="215"/>
      <c r="K137" s="215"/>
      <c r="L137" s="214"/>
      <c r="M137" s="214"/>
      <c r="AJ137" s="201"/>
      <c r="AK137" s="202"/>
      <c r="AL137" s="202"/>
      <c r="AM137" s="203"/>
      <c r="AN137" s="203"/>
    </row>
    <row r="138" spans="1:40">
      <c r="A138" s="200" t="s">
        <v>191</v>
      </c>
      <c r="C138" s="527">
        <f>L132+N136</f>
        <v>45.64</v>
      </c>
      <c r="D138" s="527"/>
      <c r="E138" s="205" t="s">
        <v>85</v>
      </c>
      <c r="F138" s="205"/>
      <c r="H138" s="219"/>
      <c r="I138" s="219"/>
      <c r="J138" s="215"/>
      <c r="K138" s="215"/>
      <c r="L138" s="214"/>
      <c r="M138" s="214"/>
      <c r="AJ138" s="201"/>
      <c r="AK138" s="202"/>
      <c r="AL138" s="202"/>
      <c r="AM138" s="203"/>
      <c r="AN138" s="203"/>
    </row>
    <row r="139" spans="1:40">
      <c r="AJ139" s="201"/>
      <c r="AK139" s="202"/>
      <c r="AL139" s="202"/>
      <c r="AM139" s="203"/>
      <c r="AN139" s="203"/>
    </row>
    <row r="140" spans="1:40" ht="15">
      <c r="A140" s="542" t="s">
        <v>426</v>
      </c>
      <c r="B140" s="542"/>
      <c r="C140" s="542"/>
      <c r="D140" s="542"/>
      <c r="E140" s="542"/>
      <c r="F140" s="542"/>
      <c r="G140" s="542"/>
      <c r="H140" s="542"/>
      <c r="I140" s="542"/>
      <c r="J140" s="542"/>
      <c r="K140" s="542"/>
      <c r="L140" s="542"/>
      <c r="M140" s="542"/>
      <c r="N140" s="542"/>
      <c r="O140" s="542"/>
      <c r="P140" s="542"/>
      <c r="Q140" s="542"/>
      <c r="R140" s="542"/>
      <c r="S140" s="542"/>
      <c r="T140" s="542"/>
      <c r="U140" s="542"/>
      <c r="V140" s="542"/>
      <c r="W140" s="542"/>
      <c r="X140" s="542"/>
      <c r="Y140" s="542"/>
      <c r="Z140" s="542"/>
      <c r="AA140" s="542"/>
      <c r="AB140" s="542"/>
      <c r="AC140" s="542"/>
      <c r="AD140" s="542"/>
      <c r="AE140" s="542"/>
      <c r="AF140" s="542"/>
      <c r="AG140" s="542"/>
      <c r="AH140" s="542"/>
      <c r="AI140" s="542"/>
      <c r="AJ140" s="201"/>
      <c r="AK140" s="202"/>
      <c r="AL140" s="202"/>
      <c r="AM140" s="203"/>
      <c r="AN140" s="203"/>
    </row>
    <row r="141" spans="1:40">
      <c r="AJ141" s="201"/>
      <c r="AK141" s="202"/>
      <c r="AL141" s="202"/>
      <c r="AM141" s="203"/>
      <c r="AN141" s="203"/>
    </row>
    <row r="142" spans="1:40">
      <c r="A142" s="530" t="s">
        <v>491</v>
      </c>
      <c r="B142" s="530"/>
      <c r="C142" s="530"/>
      <c r="D142" s="530"/>
      <c r="E142" s="530"/>
      <c r="F142" s="530"/>
      <c r="G142" s="530"/>
      <c r="H142" s="530"/>
      <c r="I142" s="530"/>
      <c r="J142" s="530"/>
      <c r="K142" s="530"/>
      <c r="L142" s="530"/>
      <c r="M142" s="530"/>
      <c r="N142" s="530"/>
      <c r="O142" s="530"/>
      <c r="P142" s="530"/>
      <c r="Q142" s="530"/>
      <c r="R142" s="530"/>
      <c r="S142" s="530"/>
      <c r="T142" s="530"/>
      <c r="U142" s="530"/>
      <c r="V142" s="530"/>
      <c r="W142" s="530"/>
      <c r="X142" s="530"/>
      <c r="Y142" s="530"/>
      <c r="Z142" s="530"/>
      <c r="AA142" s="530"/>
      <c r="AB142" s="530"/>
      <c r="AC142" s="530"/>
      <c r="AD142" s="530"/>
      <c r="AE142" s="530"/>
      <c r="AF142" s="530"/>
      <c r="AG142" s="530"/>
      <c r="AH142" s="530"/>
      <c r="AI142" s="530"/>
      <c r="AJ142" s="201"/>
      <c r="AK142" s="202"/>
      <c r="AL142" s="202"/>
      <c r="AM142" s="203"/>
      <c r="AN142" s="203"/>
    </row>
    <row r="143" spans="1:40">
      <c r="AJ143" s="201"/>
      <c r="AK143" s="202"/>
      <c r="AL143" s="202"/>
      <c r="AM143" s="203"/>
      <c r="AN143" s="203"/>
    </row>
    <row r="144" spans="1:40">
      <c r="A144" s="200" t="s">
        <v>174</v>
      </c>
      <c r="C144" s="525">
        <f>F88</f>
        <v>211.58</v>
      </c>
      <c r="D144" s="525"/>
      <c r="E144" s="214"/>
      <c r="F144" s="198" t="s">
        <v>175</v>
      </c>
      <c r="G144" s="200" t="s">
        <v>216</v>
      </c>
      <c r="H144" s="528">
        <v>0.15</v>
      </c>
      <c r="I144" s="528"/>
      <c r="J144" s="198" t="s">
        <v>217</v>
      </c>
      <c r="K144" s="525">
        <v>0.15</v>
      </c>
      <c r="L144" s="525"/>
      <c r="M144" s="214" t="s">
        <v>218</v>
      </c>
      <c r="N144" s="200"/>
      <c r="O144" s="200"/>
      <c r="Q144" s="199"/>
      <c r="R144" s="199"/>
      <c r="AJ144" s="201"/>
      <c r="AK144" s="202"/>
      <c r="AL144" s="202"/>
      <c r="AM144" s="203"/>
      <c r="AN144" s="203"/>
    </row>
    <row r="145" spans="1:40">
      <c r="A145" s="200" t="s">
        <v>174</v>
      </c>
      <c r="B145" s="543">
        <f>(C144)*(H144+K144)</f>
        <v>63.47</v>
      </c>
      <c r="C145" s="543"/>
      <c r="D145" s="543"/>
      <c r="E145" s="200" t="s">
        <v>85</v>
      </c>
      <c r="AJ145" s="201"/>
      <c r="AK145" s="202"/>
      <c r="AL145" s="202"/>
      <c r="AM145" s="203"/>
      <c r="AN145" s="203"/>
    </row>
    <row r="146" spans="1:40">
      <c r="AJ146" s="201"/>
      <c r="AK146" s="202"/>
      <c r="AL146" s="202"/>
      <c r="AM146" s="203"/>
      <c r="AN146" s="203"/>
    </row>
    <row r="147" spans="1:40" s="223" customFormat="1" ht="15" customHeight="1">
      <c r="A147" s="544" t="s">
        <v>434</v>
      </c>
      <c r="B147" s="544"/>
      <c r="C147" s="544"/>
      <c r="D147" s="544"/>
      <c r="E147" s="544"/>
      <c r="F147" s="544"/>
      <c r="G147" s="544"/>
      <c r="H147" s="544"/>
      <c r="I147" s="544"/>
      <c r="J147" s="544"/>
      <c r="K147" s="544"/>
      <c r="L147" s="544"/>
      <c r="M147" s="544"/>
      <c r="N147" s="544"/>
      <c r="O147" s="544"/>
      <c r="P147" s="544"/>
      <c r="Q147" s="544"/>
      <c r="R147" s="544"/>
      <c r="S147" s="544"/>
      <c r="T147" s="544"/>
      <c r="U147" s="544"/>
      <c r="V147" s="544"/>
      <c r="W147" s="544"/>
      <c r="X147" s="544"/>
      <c r="Y147" s="544"/>
      <c r="Z147" s="544"/>
      <c r="AA147" s="544"/>
      <c r="AB147" s="544"/>
      <c r="AC147" s="544"/>
      <c r="AD147" s="544"/>
      <c r="AE147" s="544"/>
      <c r="AF147" s="544"/>
      <c r="AG147" s="544"/>
      <c r="AH147" s="544"/>
      <c r="AI147" s="544"/>
      <c r="AJ147" s="220"/>
      <c r="AK147" s="221"/>
      <c r="AL147" s="221"/>
      <c r="AM147" s="222"/>
      <c r="AN147" s="222"/>
    </row>
    <row r="148" spans="1:40">
      <c r="AM148" s="203"/>
      <c r="AN148" s="203"/>
    </row>
    <row r="149" spans="1:40" ht="14.25" customHeight="1">
      <c r="A149" s="538" t="s">
        <v>490</v>
      </c>
      <c r="B149" s="538"/>
      <c r="C149" s="538"/>
      <c r="D149" s="538"/>
      <c r="E149" s="538"/>
      <c r="F149" s="538"/>
      <c r="G149" s="538"/>
      <c r="H149" s="538"/>
      <c r="I149" s="538"/>
      <c r="J149" s="538"/>
      <c r="K149" s="538"/>
      <c r="L149" s="538"/>
      <c r="M149" s="538"/>
      <c r="N149" s="538"/>
      <c r="O149" s="538"/>
      <c r="P149" s="538"/>
      <c r="Q149" s="538"/>
      <c r="R149" s="538"/>
      <c r="S149" s="538"/>
      <c r="T149" s="538"/>
      <c r="U149" s="538"/>
      <c r="V149" s="538"/>
      <c r="W149" s="538"/>
      <c r="X149" s="538"/>
      <c r="Y149" s="538"/>
      <c r="Z149" s="538"/>
      <c r="AA149" s="538"/>
      <c r="AB149" s="538"/>
      <c r="AC149" s="538"/>
      <c r="AD149" s="538"/>
      <c r="AE149" s="538"/>
      <c r="AF149" s="538"/>
      <c r="AG149" s="538"/>
      <c r="AH149" s="538"/>
      <c r="AI149" s="538"/>
      <c r="AM149" s="203"/>
      <c r="AN149" s="203"/>
    </row>
    <row r="150" spans="1:40">
      <c r="A150" s="538"/>
      <c r="B150" s="538"/>
      <c r="C150" s="538"/>
      <c r="D150" s="538"/>
      <c r="E150" s="538"/>
      <c r="F150" s="538"/>
      <c r="G150" s="538"/>
      <c r="H150" s="538"/>
      <c r="I150" s="538"/>
      <c r="J150" s="538"/>
      <c r="K150" s="538"/>
      <c r="L150" s="538"/>
      <c r="M150" s="538"/>
      <c r="N150" s="538"/>
      <c r="O150" s="538"/>
      <c r="P150" s="538"/>
      <c r="Q150" s="538"/>
      <c r="R150" s="538"/>
      <c r="S150" s="538"/>
      <c r="T150" s="538"/>
      <c r="U150" s="538"/>
      <c r="V150" s="538"/>
      <c r="W150" s="538"/>
      <c r="X150" s="538"/>
      <c r="Y150" s="538"/>
      <c r="Z150" s="538"/>
      <c r="AA150" s="538"/>
      <c r="AB150" s="538"/>
      <c r="AC150" s="538"/>
      <c r="AD150" s="538"/>
      <c r="AE150" s="538"/>
      <c r="AF150" s="538"/>
      <c r="AG150" s="538"/>
      <c r="AH150" s="538"/>
      <c r="AI150" s="538"/>
      <c r="AM150" s="203"/>
      <c r="AN150" s="203"/>
    </row>
    <row r="151" spans="1:40">
      <c r="AJ151" s="525" t="s">
        <v>220</v>
      </c>
      <c r="AK151" s="525"/>
      <c r="AL151" s="199" t="s">
        <v>221</v>
      </c>
      <c r="AM151" s="203"/>
      <c r="AN151" s="203"/>
    </row>
    <row r="152" spans="1:40">
      <c r="B152" s="200" t="s">
        <v>222</v>
      </c>
      <c r="AK152" s="198"/>
      <c r="AM152" s="203"/>
      <c r="AN152" s="203"/>
    </row>
    <row r="153" spans="1:40">
      <c r="A153" s="200" t="s">
        <v>174</v>
      </c>
      <c r="B153" s="527">
        <f>AJ154</f>
        <v>1</v>
      </c>
      <c r="C153" s="527"/>
      <c r="D153" s="200" t="s">
        <v>102</v>
      </c>
      <c r="F153" s="200" t="s">
        <v>175</v>
      </c>
      <c r="G153" s="525">
        <f>AL154</f>
        <v>0.28000000000000003</v>
      </c>
      <c r="H153" s="525"/>
      <c r="I153" s="200" t="s">
        <v>223</v>
      </c>
      <c r="AK153" s="198"/>
      <c r="AM153" s="203"/>
      <c r="AN153" s="203"/>
    </row>
    <row r="154" spans="1:40">
      <c r="A154" s="200" t="s">
        <v>224</v>
      </c>
      <c r="B154" s="543">
        <f>B153*G153</f>
        <v>0.28000000000000003</v>
      </c>
      <c r="C154" s="543"/>
      <c r="D154" s="530" t="s">
        <v>85</v>
      </c>
      <c r="E154" s="530"/>
      <c r="AJ154" s="198">
        <v>1</v>
      </c>
      <c r="AL154" s="199">
        <f>PI()*0.3^2</f>
        <v>0.28000000000000003</v>
      </c>
      <c r="AM154" s="203"/>
      <c r="AN154" s="203"/>
    </row>
    <row r="156" spans="1:40">
      <c r="B156" s="200" t="s">
        <v>225</v>
      </c>
      <c r="AK156" s="198"/>
      <c r="AM156" s="203"/>
      <c r="AN156" s="203"/>
    </row>
    <row r="157" spans="1:40">
      <c r="A157" s="200" t="s">
        <v>174</v>
      </c>
      <c r="B157" s="527">
        <f>AJ158</f>
        <v>1</v>
      </c>
      <c r="C157" s="527"/>
      <c r="D157" s="200" t="s">
        <v>102</v>
      </c>
      <c r="F157" s="200" t="s">
        <v>175</v>
      </c>
      <c r="G157" s="525">
        <f>AL158</f>
        <v>0.2</v>
      </c>
      <c r="H157" s="525"/>
      <c r="I157" s="200" t="s">
        <v>223</v>
      </c>
      <c r="AJ157" s="525" t="s">
        <v>226</v>
      </c>
      <c r="AK157" s="525"/>
      <c r="AM157" s="203"/>
      <c r="AN157" s="203"/>
    </row>
    <row r="158" spans="1:40">
      <c r="A158" s="200" t="s">
        <v>224</v>
      </c>
      <c r="B158" s="543">
        <f>B157*G157</f>
        <v>0.2</v>
      </c>
      <c r="C158" s="543"/>
      <c r="D158" s="530" t="s">
        <v>85</v>
      </c>
      <c r="E158" s="530"/>
      <c r="AJ158" s="198">
        <v>1</v>
      </c>
      <c r="AL158" s="199">
        <f>PI()*0.25^2</f>
        <v>0.2</v>
      </c>
      <c r="AM158" s="203"/>
      <c r="AN158" s="203"/>
    </row>
    <row r="160" spans="1:40">
      <c r="A160" s="200" t="s">
        <v>185</v>
      </c>
      <c r="C160" s="525">
        <f>B154+B158</f>
        <v>0.48</v>
      </c>
      <c r="D160" s="528"/>
      <c r="E160" s="200" t="s">
        <v>85</v>
      </c>
    </row>
    <row r="162" spans="1:38" s="197" customFormat="1" ht="15">
      <c r="A162" s="539" t="s">
        <v>328</v>
      </c>
      <c r="B162" s="540"/>
      <c r="C162" s="540"/>
      <c r="D162" s="540"/>
      <c r="E162" s="540"/>
      <c r="F162" s="540"/>
      <c r="G162" s="540"/>
      <c r="H162" s="540"/>
      <c r="I162" s="540"/>
      <c r="J162" s="540"/>
      <c r="K162" s="540"/>
      <c r="L162" s="540"/>
      <c r="M162" s="540"/>
      <c r="N162" s="540"/>
      <c r="O162" s="540"/>
      <c r="P162" s="540"/>
      <c r="Q162" s="540"/>
      <c r="R162" s="540"/>
      <c r="S162" s="540"/>
      <c r="T162" s="540"/>
      <c r="U162" s="540"/>
      <c r="V162" s="540"/>
      <c r="W162" s="540"/>
      <c r="X162" s="540"/>
      <c r="Y162" s="540"/>
      <c r="Z162" s="540"/>
      <c r="AA162" s="540"/>
      <c r="AB162" s="540"/>
      <c r="AC162" s="540"/>
      <c r="AD162" s="540"/>
      <c r="AE162" s="540"/>
      <c r="AF162" s="540"/>
      <c r="AG162" s="540"/>
      <c r="AH162" s="540"/>
      <c r="AI162" s="541"/>
      <c r="AJ162" s="224"/>
      <c r="AK162" s="210"/>
      <c r="AL162" s="210"/>
    </row>
    <row r="163" spans="1:38" s="197" customFormat="1">
      <c r="A163" s="200"/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199"/>
      <c r="O163" s="199"/>
      <c r="P163" s="200"/>
      <c r="Q163" s="200"/>
      <c r="R163" s="200"/>
      <c r="S163" s="199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24"/>
      <c r="AK163" s="210"/>
      <c r="AL163" s="210"/>
    </row>
    <row r="164" spans="1:38" s="197" customFormat="1" ht="15">
      <c r="A164" s="542" t="s">
        <v>329</v>
      </c>
      <c r="B164" s="542"/>
      <c r="C164" s="542"/>
      <c r="D164" s="542"/>
      <c r="E164" s="542"/>
      <c r="F164" s="542"/>
      <c r="G164" s="542"/>
      <c r="H164" s="542"/>
      <c r="I164" s="542"/>
      <c r="J164" s="542"/>
      <c r="K164" s="542"/>
      <c r="L164" s="542"/>
      <c r="M164" s="542"/>
      <c r="N164" s="542"/>
      <c r="O164" s="542"/>
      <c r="P164" s="542"/>
      <c r="Q164" s="542"/>
      <c r="R164" s="542"/>
      <c r="S164" s="542"/>
      <c r="T164" s="542"/>
      <c r="U164" s="542"/>
      <c r="V164" s="542"/>
      <c r="W164" s="542"/>
      <c r="X164" s="542"/>
      <c r="Y164" s="542"/>
      <c r="Z164" s="542"/>
      <c r="AA164" s="542"/>
      <c r="AB164" s="542"/>
      <c r="AC164" s="542"/>
      <c r="AD164" s="542"/>
      <c r="AE164" s="542"/>
      <c r="AF164" s="542"/>
      <c r="AG164" s="542"/>
      <c r="AH164" s="542"/>
      <c r="AI164" s="542"/>
      <c r="AJ164" s="224"/>
      <c r="AK164" s="210"/>
      <c r="AL164" s="210"/>
    </row>
    <row r="165" spans="1:38" s="197" customFormat="1">
      <c r="A165" s="200"/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199"/>
      <c r="O165" s="199"/>
      <c r="P165" s="200"/>
      <c r="Q165" s="200"/>
      <c r="R165" s="200"/>
      <c r="S165" s="199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/>
      <c r="AD165" s="200"/>
      <c r="AE165" s="200"/>
      <c r="AF165" s="200"/>
      <c r="AG165" s="200"/>
      <c r="AH165" s="200"/>
      <c r="AI165" s="200"/>
      <c r="AJ165" s="224"/>
      <c r="AK165" s="210"/>
      <c r="AL165" s="210"/>
    </row>
    <row r="166" spans="1:38" s="197" customFormat="1">
      <c r="A166" s="530" t="s">
        <v>335</v>
      </c>
      <c r="B166" s="530"/>
      <c r="C166" s="530"/>
      <c r="D166" s="530"/>
      <c r="E166" s="530"/>
      <c r="F166" s="530"/>
      <c r="G166" s="530"/>
      <c r="H166" s="530"/>
      <c r="I166" s="530"/>
      <c r="J166" s="530"/>
      <c r="K166" s="530"/>
      <c r="L166" s="530"/>
      <c r="M166" s="530"/>
      <c r="N166" s="530"/>
      <c r="O166" s="530"/>
      <c r="P166" s="530"/>
      <c r="Q166" s="530"/>
      <c r="R166" s="530"/>
      <c r="S166" s="530"/>
      <c r="T166" s="530"/>
      <c r="U166" s="530"/>
      <c r="V166" s="530"/>
      <c r="W166" s="530"/>
      <c r="X166" s="530"/>
      <c r="Y166" s="530"/>
      <c r="Z166" s="530"/>
      <c r="AA166" s="530"/>
      <c r="AB166" s="530"/>
      <c r="AC166" s="530"/>
      <c r="AD166" s="530"/>
      <c r="AE166" s="530"/>
      <c r="AF166" s="530"/>
      <c r="AG166" s="530"/>
      <c r="AH166" s="530"/>
      <c r="AI166" s="530"/>
      <c r="AJ166" s="224"/>
      <c r="AK166" s="210"/>
      <c r="AL166" s="210"/>
    </row>
    <row r="167" spans="1:38" s="197" customFormat="1">
      <c r="A167" s="200"/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24"/>
      <c r="AK167" s="210"/>
      <c r="AL167" s="210"/>
    </row>
    <row r="168" spans="1:38" s="197" customFormat="1">
      <c r="A168" s="526" t="s">
        <v>350</v>
      </c>
      <c r="B168" s="526"/>
      <c r="C168" s="526"/>
      <c r="D168" s="526"/>
      <c r="E168" s="526"/>
      <c r="F168" s="526"/>
      <c r="G168" s="531">
        <f>6.7+6.22+80.4</f>
        <v>93.32</v>
      </c>
      <c r="H168" s="531"/>
      <c r="I168" s="200" t="s">
        <v>196</v>
      </c>
      <c r="J168" s="531">
        <v>1</v>
      </c>
      <c r="K168" s="531"/>
      <c r="L168" s="528" t="s">
        <v>197</v>
      </c>
      <c r="M168" s="528"/>
      <c r="N168" s="531">
        <f>G168*J168</f>
        <v>93.32</v>
      </c>
      <c r="O168" s="531"/>
      <c r="P168" s="200" t="s">
        <v>148</v>
      </c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24"/>
      <c r="AK168" s="210"/>
      <c r="AL168" s="210"/>
    </row>
    <row r="169" spans="1:38" s="197" customFormat="1">
      <c r="A169" s="200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24"/>
      <c r="AK169" s="210"/>
      <c r="AL169" s="210"/>
    </row>
    <row r="170" spans="1:38" s="197" customFormat="1">
      <c r="A170" s="200" t="s">
        <v>191</v>
      </c>
      <c r="B170" s="200"/>
      <c r="C170" s="527">
        <f>SUM(N168:N168)</f>
        <v>93.32</v>
      </c>
      <c r="D170" s="528"/>
      <c r="E170" s="200" t="s">
        <v>148</v>
      </c>
      <c r="F170" s="200"/>
      <c r="G170" s="200"/>
      <c r="H170" s="200"/>
      <c r="I170" s="200"/>
      <c r="J170" s="200"/>
      <c r="K170" s="200"/>
      <c r="L170" s="200"/>
      <c r="M170" s="200"/>
      <c r="N170" s="199"/>
      <c r="O170" s="199"/>
      <c r="P170" s="200"/>
      <c r="Q170" s="200"/>
      <c r="R170" s="200"/>
      <c r="S170" s="199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24"/>
      <c r="AK170" s="210"/>
      <c r="AL170" s="210"/>
    </row>
    <row r="171" spans="1:38" s="197" customFormat="1">
      <c r="A171" s="200"/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199"/>
      <c r="O171" s="199"/>
      <c r="P171" s="200"/>
      <c r="Q171" s="200"/>
      <c r="R171" s="200"/>
      <c r="S171" s="199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24"/>
      <c r="AK171" s="210"/>
      <c r="AL171" s="210"/>
    </row>
    <row r="172" spans="1:38" s="197" customFormat="1" ht="29.25" customHeight="1">
      <c r="A172" s="529" t="s">
        <v>336</v>
      </c>
      <c r="B172" s="529"/>
      <c r="C172" s="529"/>
      <c r="D172" s="529"/>
      <c r="E172" s="529"/>
      <c r="F172" s="529"/>
      <c r="G172" s="529"/>
      <c r="H172" s="529"/>
      <c r="I172" s="529"/>
      <c r="J172" s="529"/>
      <c r="K172" s="529"/>
      <c r="L172" s="529"/>
      <c r="M172" s="529"/>
      <c r="N172" s="529"/>
      <c r="O172" s="529"/>
      <c r="P172" s="529"/>
      <c r="Q172" s="529"/>
      <c r="R172" s="529"/>
      <c r="S172" s="529"/>
      <c r="T172" s="529"/>
      <c r="U172" s="529"/>
      <c r="V172" s="529"/>
      <c r="W172" s="529"/>
      <c r="X172" s="529"/>
      <c r="Y172" s="529"/>
      <c r="Z172" s="529"/>
      <c r="AA172" s="529"/>
      <c r="AB172" s="529"/>
      <c r="AC172" s="529"/>
      <c r="AD172" s="529"/>
      <c r="AE172" s="529"/>
      <c r="AF172" s="529"/>
      <c r="AG172" s="529"/>
      <c r="AH172" s="529"/>
      <c r="AI172" s="529"/>
      <c r="AJ172" s="224"/>
      <c r="AK172" s="210"/>
      <c r="AL172" s="210"/>
    </row>
    <row r="173" spans="1:38" s="197" customFormat="1" ht="15">
      <c r="A173" s="385"/>
      <c r="B173" s="385"/>
      <c r="C173" s="385"/>
      <c r="D173" s="385"/>
      <c r="E173" s="385"/>
      <c r="F173" s="385"/>
      <c r="G173" s="385"/>
      <c r="H173" s="385"/>
      <c r="I173" s="385"/>
      <c r="J173" s="385"/>
      <c r="K173" s="385"/>
      <c r="L173" s="385"/>
      <c r="M173" s="385"/>
      <c r="N173" s="385"/>
      <c r="O173" s="385"/>
      <c r="P173" s="385"/>
      <c r="Q173" s="385"/>
      <c r="R173" s="385"/>
      <c r="S173" s="385"/>
      <c r="T173" s="385"/>
      <c r="U173" s="385"/>
      <c r="V173" s="385"/>
      <c r="W173" s="385"/>
      <c r="X173" s="385"/>
      <c r="Y173" s="385"/>
      <c r="Z173" s="385"/>
      <c r="AA173" s="385"/>
      <c r="AB173" s="385"/>
      <c r="AC173" s="385"/>
      <c r="AD173" s="385"/>
      <c r="AE173" s="385"/>
      <c r="AF173" s="385"/>
      <c r="AG173" s="385"/>
      <c r="AH173" s="385"/>
      <c r="AI173" s="385"/>
      <c r="AJ173" s="224"/>
      <c r="AK173" s="210"/>
      <c r="AL173" s="210"/>
    </row>
    <row r="174" spans="1:38" s="197" customFormat="1">
      <c r="A174" s="538" t="s">
        <v>337</v>
      </c>
      <c r="B174" s="538"/>
      <c r="C174" s="538"/>
      <c r="D174" s="538"/>
      <c r="E174" s="538"/>
      <c r="F174" s="538"/>
      <c r="G174" s="538"/>
      <c r="H174" s="538"/>
      <c r="I174" s="538"/>
      <c r="J174" s="538"/>
      <c r="K174" s="538"/>
      <c r="L174" s="538"/>
      <c r="M174" s="538"/>
      <c r="N174" s="538"/>
      <c r="O174" s="538"/>
      <c r="P174" s="538"/>
      <c r="Q174" s="538"/>
      <c r="R174" s="538"/>
      <c r="S174" s="538"/>
      <c r="T174" s="538"/>
      <c r="U174" s="538"/>
      <c r="V174" s="538"/>
      <c r="W174" s="538"/>
      <c r="X174" s="538"/>
      <c r="Y174" s="538"/>
      <c r="Z174" s="538"/>
      <c r="AA174" s="538"/>
      <c r="AB174" s="538"/>
      <c r="AC174" s="538"/>
      <c r="AD174" s="538"/>
      <c r="AE174" s="538"/>
      <c r="AF174" s="538"/>
      <c r="AG174" s="538"/>
      <c r="AH174" s="538"/>
      <c r="AI174" s="538"/>
      <c r="AJ174" s="224"/>
      <c r="AK174" s="210"/>
      <c r="AL174" s="210"/>
    </row>
    <row r="175" spans="1:38" s="197" customFormat="1" ht="15">
      <c r="A175" s="385"/>
      <c r="B175" s="385"/>
      <c r="C175" s="385"/>
      <c r="D175" s="385"/>
      <c r="E175" s="385"/>
      <c r="F175" s="385"/>
      <c r="G175" s="385"/>
      <c r="H175" s="385"/>
      <c r="I175" s="385"/>
      <c r="J175" s="385"/>
      <c r="K175" s="385"/>
      <c r="L175" s="385"/>
      <c r="M175" s="385"/>
      <c r="N175" s="385"/>
      <c r="O175" s="385"/>
      <c r="P175" s="385"/>
      <c r="Q175" s="385"/>
      <c r="R175" s="385"/>
      <c r="S175" s="385"/>
      <c r="T175" s="385"/>
      <c r="U175" s="385"/>
      <c r="V175" s="385"/>
      <c r="W175" s="385"/>
      <c r="X175" s="385"/>
      <c r="Y175" s="385"/>
      <c r="Z175" s="385"/>
      <c r="AA175" s="385"/>
      <c r="AB175" s="385"/>
      <c r="AC175" s="385"/>
      <c r="AD175" s="385"/>
      <c r="AE175" s="385"/>
      <c r="AF175" s="385"/>
      <c r="AG175" s="385"/>
      <c r="AH175" s="385"/>
      <c r="AI175" s="385"/>
      <c r="AL175" s="210"/>
    </row>
    <row r="176" spans="1:38" s="197" customFormat="1">
      <c r="A176" s="200"/>
      <c r="B176" s="200"/>
      <c r="C176" s="200"/>
      <c r="D176" s="200"/>
      <c r="E176" s="200"/>
      <c r="F176" s="200"/>
      <c r="G176" s="528" t="s">
        <v>81</v>
      </c>
      <c r="H176" s="528"/>
      <c r="I176" s="200"/>
      <c r="J176" s="528" t="s">
        <v>338</v>
      </c>
      <c r="K176" s="528"/>
      <c r="L176" s="200"/>
      <c r="M176" s="200"/>
      <c r="N176" s="525" t="s">
        <v>339</v>
      </c>
      <c r="O176" s="525"/>
      <c r="P176" s="200"/>
      <c r="Q176" s="200"/>
      <c r="R176" s="528" t="s">
        <v>340</v>
      </c>
      <c r="S176" s="528"/>
      <c r="T176" s="200"/>
      <c r="U176" s="200"/>
      <c r="V176" s="528" t="s">
        <v>293</v>
      </c>
      <c r="W176" s="528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24"/>
      <c r="AK176" s="210"/>
      <c r="AL176" s="210"/>
    </row>
    <row r="177" spans="1:38" s="197" customFormat="1">
      <c r="A177" s="526" t="s">
        <v>350</v>
      </c>
      <c r="B177" s="526"/>
      <c r="C177" s="526"/>
      <c r="D177" s="526"/>
      <c r="E177" s="526"/>
      <c r="F177" s="526"/>
      <c r="G177" s="533">
        <f>C170</f>
        <v>93.32</v>
      </c>
      <c r="H177" s="533"/>
      <c r="I177" s="200" t="s">
        <v>196</v>
      </c>
      <c r="J177" s="531">
        <v>1.5</v>
      </c>
      <c r="K177" s="531"/>
      <c r="L177" s="526" t="s">
        <v>196</v>
      </c>
      <c r="M177" s="526"/>
      <c r="N177" s="532">
        <f>1.2+0.15</f>
        <v>1.35</v>
      </c>
      <c r="O177" s="532"/>
      <c r="P177" s="526" t="s">
        <v>196</v>
      </c>
      <c r="Q177" s="526"/>
      <c r="R177" s="531">
        <v>1</v>
      </c>
      <c r="S177" s="531"/>
      <c r="T177" s="526" t="s">
        <v>197</v>
      </c>
      <c r="U177" s="526"/>
      <c r="V177" s="527">
        <f>G177*J177*N177*R177</f>
        <v>188.97</v>
      </c>
      <c r="W177" s="527"/>
      <c r="X177" s="225" t="s">
        <v>58</v>
      </c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24"/>
      <c r="AK177" s="210"/>
      <c r="AL177" s="210"/>
    </row>
    <row r="178" spans="1:38" s="197" customFormat="1">
      <c r="A178" s="200" t="s">
        <v>351</v>
      </c>
      <c r="B178" s="200"/>
      <c r="C178" s="200"/>
      <c r="D178" s="200"/>
      <c r="E178" s="200"/>
      <c r="F178" s="200"/>
      <c r="G178" s="531">
        <v>2</v>
      </c>
      <c r="H178" s="531"/>
      <c r="I178" s="200" t="s">
        <v>196</v>
      </c>
      <c r="J178" s="531">
        <f>2</f>
        <v>2</v>
      </c>
      <c r="K178" s="531"/>
      <c r="L178" s="526" t="s">
        <v>196</v>
      </c>
      <c r="M178" s="526"/>
      <c r="N178" s="532">
        <f>1.2+0.15</f>
        <v>1.35</v>
      </c>
      <c r="O178" s="532"/>
      <c r="P178" s="526" t="s">
        <v>196</v>
      </c>
      <c r="Q178" s="526"/>
      <c r="R178" s="531">
        <v>1</v>
      </c>
      <c r="S178" s="531"/>
      <c r="T178" s="526" t="s">
        <v>197</v>
      </c>
      <c r="U178" s="526"/>
      <c r="V178" s="527">
        <f t="shared" ref="V178:V179" si="0">G178*J178*N178*R178</f>
        <v>5.4</v>
      </c>
      <c r="W178" s="527"/>
      <c r="X178" s="225" t="s">
        <v>58</v>
      </c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24"/>
      <c r="AK178" s="210"/>
      <c r="AL178" s="210"/>
    </row>
    <row r="179" spans="1:38" s="197" customFormat="1">
      <c r="A179" s="200" t="s">
        <v>341</v>
      </c>
      <c r="B179" s="200"/>
      <c r="C179" s="200"/>
      <c r="D179" s="200"/>
      <c r="E179" s="200"/>
      <c r="F179" s="200"/>
      <c r="G179" s="531">
        <v>1.5</v>
      </c>
      <c r="H179" s="531"/>
      <c r="I179" s="200" t="s">
        <v>196</v>
      </c>
      <c r="J179" s="531">
        <v>1.5</v>
      </c>
      <c r="K179" s="531"/>
      <c r="L179" s="526" t="s">
        <v>196</v>
      </c>
      <c r="M179" s="526"/>
      <c r="N179" s="532">
        <f>1.2+0.15</f>
        <v>1.35</v>
      </c>
      <c r="O179" s="532"/>
      <c r="P179" s="526" t="s">
        <v>196</v>
      </c>
      <c r="Q179" s="526"/>
      <c r="R179" s="531">
        <v>2</v>
      </c>
      <c r="S179" s="531"/>
      <c r="T179" s="526" t="s">
        <v>197</v>
      </c>
      <c r="U179" s="526"/>
      <c r="V179" s="527">
        <f t="shared" si="0"/>
        <v>6.08</v>
      </c>
      <c r="W179" s="527"/>
      <c r="X179" s="225" t="s">
        <v>58</v>
      </c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24"/>
      <c r="AK179" s="210"/>
      <c r="AL179" s="210"/>
    </row>
    <row r="180" spans="1:38" s="197" customFormat="1">
      <c r="A180" s="200"/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199"/>
      <c r="O180" s="199"/>
      <c r="P180" s="200"/>
      <c r="Q180" s="200"/>
      <c r="R180" s="200"/>
      <c r="S180" s="199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24"/>
      <c r="AK180" s="210"/>
      <c r="AL180" s="210"/>
    </row>
    <row r="181" spans="1:38" s="197" customFormat="1">
      <c r="A181" s="200" t="s">
        <v>191</v>
      </c>
      <c r="B181" s="200"/>
      <c r="C181" s="531">
        <f>SUM(V177:W179)</f>
        <v>200.45</v>
      </c>
      <c r="D181" s="533"/>
      <c r="E181" s="200" t="s">
        <v>58</v>
      </c>
      <c r="F181" s="200"/>
      <c r="G181" s="200"/>
      <c r="H181" s="200"/>
      <c r="I181" s="200"/>
      <c r="J181" s="200"/>
      <c r="K181" s="200"/>
      <c r="L181" s="200"/>
      <c r="M181" s="200"/>
      <c r="N181" s="199"/>
      <c r="O181" s="199"/>
      <c r="P181" s="200"/>
      <c r="Q181" s="200"/>
      <c r="R181" s="200"/>
      <c r="S181" s="199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24"/>
      <c r="AK181" s="210"/>
      <c r="AL181" s="210"/>
    </row>
    <row r="182" spans="1:38" s="197" customFormat="1">
      <c r="A182" s="200"/>
      <c r="B182" s="200"/>
      <c r="C182" s="200"/>
      <c r="D182" s="200"/>
      <c r="E182" s="200"/>
      <c r="F182" s="200"/>
      <c r="G182" s="200"/>
      <c r="H182" s="200"/>
      <c r="I182" s="200"/>
      <c r="J182" s="200"/>
      <c r="K182" s="200"/>
      <c r="L182" s="200"/>
      <c r="M182" s="200"/>
      <c r="N182" s="199"/>
      <c r="O182" s="199"/>
      <c r="P182" s="200"/>
      <c r="Q182" s="200"/>
      <c r="R182" s="200"/>
      <c r="S182" s="199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24"/>
      <c r="AK182" s="210"/>
      <c r="AL182" s="210"/>
    </row>
    <row r="183" spans="1:38" s="197" customFormat="1" ht="15">
      <c r="A183" s="534" t="s">
        <v>352</v>
      </c>
      <c r="B183" s="534"/>
      <c r="C183" s="534"/>
      <c r="D183" s="534"/>
      <c r="E183" s="534"/>
      <c r="F183" s="534"/>
      <c r="G183" s="534"/>
      <c r="H183" s="534"/>
      <c r="I183" s="534"/>
      <c r="J183" s="534"/>
      <c r="K183" s="534"/>
      <c r="L183" s="534"/>
      <c r="M183" s="534"/>
      <c r="N183" s="534"/>
      <c r="O183" s="534"/>
      <c r="P183" s="534"/>
      <c r="Q183" s="534"/>
      <c r="R183" s="534"/>
      <c r="S183" s="534"/>
      <c r="T183" s="534"/>
      <c r="U183" s="534"/>
      <c r="V183" s="534"/>
      <c r="W183" s="534"/>
      <c r="X183" s="534"/>
      <c r="Y183" s="534"/>
      <c r="Z183" s="534"/>
      <c r="AA183" s="534"/>
      <c r="AB183" s="534"/>
      <c r="AC183" s="534"/>
      <c r="AD183" s="534"/>
      <c r="AE183" s="534"/>
      <c r="AF183" s="534"/>
      <c r="AG183" s="534"/>
      <c r="AH183" s="534"/>
      <c r="AI183" s="534"/>
      <c r="AJ183" s="224"/>
      <c r="AK183" s="210"/>
      <c r="AL183" s="210"/>
    </row>
    <row r="184" spans="1:38" s="197" customFormat="1">
      <c r="A184" s="200"/>
      <c r="B184" s="200"/>
      <c r="C184" s="200"/>
      <c r="D184" s="200"/>
      <c r="E184" s="200"/>
      <c r="F184" s="200"/>
      <c r="G184" s="200"/>
      <c r="H184" s="200"/>
      <c r="I184" s="200"/>
      <c r="J184" s="200"/>
      <c r="K184" s="200"/>
      <c r="L184" s="200"/>
      <c r="M184" s="200"/>
      <c r="N184" s="199"/>
      <c r="O184" s="199"/>
      <c r="P184" s="200"/>
      <c r="Q184" s="200"/>
      <c r="R184" s="200"/>
      <c r="S184" s="199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24"/>
      <c r="AK184" s="210"/>
      <c r="AL184" s="210"/>
    </row>
    <row r="185" spans="1:38" s="197" customFormat="1">
      <c r="A185" s="200"/>
      <c r="B185" s="200"/>
      <c r="C185" s="200"/>
      <c r="D185" s="200"/>
      <c r="E185" s="200"/>
      <c r="F185" s="200"/>
      <c r="G185" s="528" t="s">
        <v>81</v>
      </c>
      <c r="H185" s="528"/>
      <c r="I185" s="200"/>
      <c r="J185" s="525" t="s">
        <v>339</v>
      </c>
      <c r="K185" s="525"/>
      <c r="L185" s="200"/>
      <c r="M185" s="200"/>
      <c r="N185" s="528" t="s">
        <v>340</v>
      </c>
      <c r="O185" s="528"/>
      <c r="P185" s="200"/>
      <c r="Q185" s="200"/>
      <c r="R185" s="528" t="s">
        <v>293</v>
      </c>
      <c r="S185" s="528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24"/>
      <c r="AG185" s="210"/>
      <c r="AH185" s="210"/>
    </row>
    <row r="186" spans="1:38" s="197" customFormat="1">
      <c r="A186" s="526" t="s">
        <v>350</v>
      </c>
      <c r="B186" s="526"/>
      <c r="C186" s="526"/>
      <c r="D186" s="526"/>
      <c r="E186" s="526"/>
      <c r="F186" s="526"/>
      <c r="G186" s="533">
        <f>G177</f>
        <v>93.32</v>
      </c>
      <c r="H186" s="533"/>
      <c r="I186" s="200" t="s">
        <v>196</v>
      </c>
      <c r="J186" s="532">
        <f>N177</f>
        <v>1.35</v>
      </c>
      <c r="K186" s="532"/>
      <c r="L186" s="526" t="s">
        <v>196</v>
      </c>
      <c r="M186" s="526"/>
      <c r="N186" s="531">
        <v>1</v>
      </c>
      <c r="O186" s="531"/>
      <c r="P186" s="526" t="s">
        <v>197</v>
      </c>
      <c r="Q186" s="526"/>
      <c r="R186" s="527">
        <f>G186*J186*N186</f>
        <v>125.98</v>
      </c>
      <c r="S186" s="527"/>
      <c r="T186" s="225" t="s">
        <v>85</v>
      </c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24"/>
      <c r="AG186" s="210"/>
      <c r="AH186" s="210"/>
    </row>
    <row r="187" spans="1:38" s="197" customFormat="1">
      <c r="A187" s="200" t="s">
        <v>351</v>
      </c>
      <c r="B187" s="200"/>
      <c r="C187" s="200"/>
      <c r="D187" s="200"/>
      <c r="E187" s="200"/>
      <c r="F187" s="200"/>
      <c r="G187" s="531">
        <v>2</v>
      </c>
      <c r="H187" s="531"/>
      <c r="I187" s="200" t="s">
        <v>196</v>
      </c>
      <c r="J187" s="532">
        <f>N178</f>
        <v>1.35</v>
      </c>
      <c r="K187" s="532"/>
      <c r="L187" s="526" t="s">
        <v>196</v>
      </c>
      <c r="M187" s="526"/>
      <c r="N187" s="531">
        <v>1</v>
      </c>
      <c r="O187" s="531"/>
      <c r="P187" s="526" t="s">
        <v>197</v>
      </c>
      <c r="Q187" s="526"/>
      <c r="R187" s="527">
        <f t="shared" ref="R187:R188" si="1">G187*J187*N187</f>
        <v>2.7</v>
      </c>
      <c r="S187" s="527"/>
      <c r="T187" s="225" t="s">
        <v>85</v>
      </c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24"/>
      <c r="AG187" s="210"/>
      <c r="AH187" s="210"/>
    </row>
    <row r="188" spans="1:38" s="197" customFormat="1">
      <c r="A188" s="200" t="s">
        <v>341</v>
      </c>
      <c r="B188" s="200"/>
      <c r="C188" s="200"/>
      <c r="D188" s="200"/>
      <c r="E188" s="200"/>
      <c r="F188" s="200"/>
      <c r="G188" s="531">
        <v>1.5</v>
      </c>
      <c r="H188" s="531"/>
      <c r="I188" s="200" t="s">
        <v>196</v>
      </c>
      <c r="J188" s="532">
        <f>N179</f>
        <v>1.35</v>
      </c>
      <c r="K188" s="532"/>
      <c r="L188" s="526" t="s">
        <v>196</v>
      </c>
      <c r="M188" s="526"/>
      <c r="N188" s="531">
        <v>4</v>
      </c>
      <c r="O188" s="531"/>
      <c r="P188" s="526" t="s">
        <v>197</v>
      </c>
      <c r="Q188" s="526"/>
      <c r="R188" s="527">
        <f t="shared" si="1"/>
        <v>8.1</v>
      </c>
      <c r="S188" s="527"/>
      <c r="T188" s="225" t="s">
        <v>85</v>
      </c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24"/>
      <c r="AG188" s="210"/>
      <c r="AH188" s="210"/>
    </row>
    <row r="189" spans="1:38" s="197" customFormat="1">
      <c r="A189" s="200"/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199"/>
      <c r="O189" s="199"/>
      <c r="P189" s="200"/>
      <c r="Q189" s="200"/>
      <c r="R189" s="200"/>
      <c r="S189" s="199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24"/>
      <c r="AK189" s="210"/>
      <c r="AL189" s="210"/>
    </row>
    <row r="190" spans="1:38" s="197" customFormat="1">
      <c r="A190" s="200" t="s">
        <v>191</v>
      </c>
      <c r="B190" s="200"/>
      <c r="C190" s="531">
        <f>SUM(R186:S188)</f>
        <v>136.78</v>
      </c>
      <c r="D190" s="533"/>
      <c r="E190" s="200" t="s">
        <v>85</v>
      </c>
      <c r="F190" s="200"/>
      <c r="G190" s="200"/>
      <c r="H190" s="200"/>
      <c r="I190" s="200"/>
      <c r="J190" s="200"/>
      <c r="K190" s="200"/>
      <c r="L190" s="200"/>
      <c r="M190" s="200"/>
      <c r="N190" s="199"/>
      <c r="O190" s="199"/>
      <c r="P190" s="200"/>
      <c r="Q190" s="200"/>
      <c r="R190" s="200"/>
      <c r="S190" s="199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24"/>
      <c r="AK190" s="210"/>
      <c r="AL190" s="210"/>
    </row>
    <row r="191" spans="1:38" s="197" customFormat="1">
      <c r="A191" s="200"/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199"/>
      <c r="O191" s="199"/>
      <c r="P191" s="200"/>
      <c r="Q191" s="200"/>
      <c r="R191" s="200"/>
      <c r="S191" s="199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24"/>
      <c r="AK191" s="210"/>
      <c r="AL191" s="210"/>
    </row>
    <row r="192" spans="1:38" s="197" customFormat="1" ht="15">
      <c r="A192" s="534" t="s">
        <v>354</v>
      </c>
      <c r="B192" s="534"/>
      <c r="C192" s="534"/>
      <c r="D192" s="534"/>
      <c r="E192" s="534"/>
      <c r="F192" s="534"/>
      <c r="G192" s="534"/>
      <c r="H192" s="534"/>
      <c r="I192" s="534"/>
      <c r="J192" s="534"/>
      <c r="K192" s="534"/>
      <c r="L192" s="534"/>
      <c r="M192" s="534"/>
      <c r="N192" s="534"/>
      <c r="O192" s="534"/>
      <c r="P192" s="534"/>
      <c r="Q192" s="534"/>
      <c r="R192" s="534"/>
      <c r="S192" s="534"/>
      <c r="T192" s="534"/>
      <c r="U192" s="534"/>
      <c r="V192" s="534"/>
      <c r="W192" s="534"/>
      <c r="X192" s="534"/>
      <c r="Y192" s="534"/>
      <c r="Z192" s="534"/>
      <c r="AA192" s="534"/>
      <c r="AB192" s="534"/>
      <c r="AC192" s="534"/>
      <c r="AD192" s="534"/>
      <c r="AE192" s="534"/>
      <c r="AF192" s="534"/>
      <c r="AG192" s="534"/>
      <c r="AH192" s="534"/>
      <c r="AI192" s="534"/>
      <c r="AJ192" s="224"/>
      <c r="AK192" s="210"/>
      <c r="AL192" s="210"/>
    </row>
    <row r="193" spans="1:38" s="197" customFormat="1">
      <c r="A193" s="200"/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199"/>
      <c r="O193" s="199"/>
      <c r="P193" s="200"/>
      <c r="Q193" s="200"/>
      <c r="R193" s="200"/>
      <c r="S193" s="199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24"/>
      <c r="AK193" s="210"/>
      <c r="AL193" s="210"/>
    </row>
    <row r="194" spans="1:38" s="197" customFormat="1">
      <c r="A194" s="526" t="s">
        <v>417</v>
      </c>
      <c r="B194" s="526"/>
      <c r="C194" s="526"/>
      <c r="D194" s="526"/>
      <c r="E194" s="526"/>
      <c r="F194" s="526"/>
      <c r="G194" s="526"/>
      <c r="H194" s="526"/>
      <c r="I194" s="526"/>
      <c r="J194" s="526"/>
      <c r="K194" s="526"/>
      <c r="L194" s="526"/>
      <c r="M194" s="526"/>
      <c r="N194" s="526"/>
      <c r="O194" s="526"/>
      <c r="P194" s="526"/>
      <c r="Q194" s="526"/>
      <c r="R194" s="526"/>
      <c r="S194" s="526"/>
      <c r="T194" s="526"/>
      <c r="U194" s="526"/>
      <c r="V194" s="526"/>
      <c r="W194" s="526"/>
      <c r="X194" s="526"/>
      <c r="Y194" s="526"/>
      <c r="Z194" s="526"/>
      <c r="AA194" s="526"/>
      <c r="AB194" s="526"/>
      <c r="AC194" s="526"/>
      <c r="AD194" s="526"/>
      <c r="AE194" s="526"/>
      <c r="AF194" s="526"/>
      <c r="AG194" s="526"/>
      <c r="AH194" s="526"/>
      <c r="AI194" s="526"/>
      <c r="AJ194" s="224"/>
      <c r="AK194" s="210"/>
      <c r="AL194" s="210"/>
    </row>
    <row r="195" spans="1:38" s="197" customFormat="1">
      <c r="A195" s="200"/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199"/>
      <c r="O195" s="199"/>
      <c r="P195" s="200"/>
      <c r="Q195" s="200"/>
      <c r="R195" s="200"/>
      <c r="S195" s="199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24"/>
      <c r="AK195" s="210"/>
      <c r="AL195" s="210"/>
    </row>
    <row r="196" spans="1:38" s="197" customFormat="1">
      <c r="A196" s="200"/>
      <c r="B196" s="200"/>
      <c r="C196" s="200"/>
      <c r="D196" s="200"/>
      <c r="E196" s="200"/>
      <c r="F196" s="200"/>
      <c r="G196" s="528" t="s">
        <v>81</v>
      </c>
      <c r="H196" s="528"/>
      <c r="I196" s="200"/>
      <c r="J196" s="528" t="s">
        <v>338</v>
      </c>
      <c r="K196" s="528"/>
      <c r="L196" s="200"/>
      <c r="M196" s="200"/>
      <c r="N196" s="525" t="s">
        <v>339</v>
      </c>
      <c r="O196" s="525"/>
      <c r="P196" s="200"/>
      <c r="Q196" s="200"/>
      <c r="R196" s="528" t="s">
        <v>340</v>
      </c>
      <c r="S196" s="528"/>
      <c r="T196" s="200"/>
      <c r="U196" s="200"/>
      <c r="V196" s="528" t="s">
        <v>293</v>
      </c>
      <c r="W196" s="528"/>
      <c r="X196" s="200"/>
      <c r="Y196" s="200"/>
      <c r="Z196" s="200"/>
      <c r="AA196" s="200"/>
      <c r="AB196" s="200"/>
      <c r="AC196" s="200"/>
      <c r="AD196" s="200"/>
      <c r="AE196" s="200"/>
      <c r="AF196" s="200"/>
      <c r="AG196" s="200"/>
      <c r="AH196" s="200"/>
      <c r="AI196" s="200"/>
      <c r="AJ196" s="224"/>
      <c r="AK196" s="210"/>
      <c r="AL196" s="210"/>
    </row>
    <row r="197" spans="1:38" s="197" customFormat="1">
      <c r="A197" s="526" t="s">
        <v>350</v>
      </c>
      <c r="B197" s="526"/>
      <c r="C197" s="526"/>
      <c r="D197" s="526"/>
      <c r="E197" s="526"/>
      <c r="F197" s="526"/>
      <c r="G197" s="533">
        <f>G186</f>
        <v>93.32</v>
      </c>
      <c r="H197" s="533"/>
      <c r="I197" s="200" t="s">
        <v>196</v>
      </c>
      <c r="J197" s="531">
        <v>1.5</v>
      </c>
      <c r="K197" s="531"/>
      <c r="L197" s="526" t="s">
        <v>196</v>
      </c>
      <c r="M197" s="526"/>
      <c r="N197" s="532">
        <v>0.15</v>
      </c>
      <c r="O197" s="532"/>
      <c r="P197" s="526" t="s">
        <v>196</v>
      </c>
      <c r="Q197" s="526"/>
      <c r="R197" s="531">
        <v>1</v>
      </c>
      <c r="S197" s="531"/>
      <c r="T197" s="526" t="s">
        <v>197</v>
      </c>
      <c r="U197" s="526"/>
      <c r="V197" s="527">
        <f>G197*J197*N197*R197</f>
        <v>21</v>
      </c>
      <c r="W197" s="527"/>
      <c r="X197" s="225" t="s">
        <v>58</v>
      </c>
      <c r="Y197" s="200"/>
      <c r="Z197" s="200"/>
      <c r="AA197" s="200"/>
      <c r="AB197" s="200"/>
      <c r="AC197" s="200"/>
      <c r="AD197" s="200"/>
      <c r="AE197" s="200"/>
      <c r="AF197" s="200"/>
      <c r="AG197" s="200"/>
      <c r="AH197" s="200"/>
      <c r="AI197" s="200"/>
      <c r="AJ197" s="224"/>
      <c r="AK197" s="210"/>
      <c r="AL197" s="210"/>
    </row>
    <row r="198" spans="1:38" s="197" customFormat="1">
      <c r="A198" s="215"/>
      <c r="B198" s="215"/>
      <c r="C198" s="215"/>
      <c r="D198" s="215"/>
      <c r="E198" s="215"/>
      <c r="F198" s="215"/>
      <c r="G198" s="205"/>
      <c r="H198" s="205"/>
      <c r="I198" s="200"/>
      <c r="J198" s="216"/>
      <c r="K198" s="216"/>
      <c r="L198" s="215"/>
      <c r="M198" s="215"/>
      <c r="N198" s="204"/>
      <c r="O198" s="204"/>
      <c r="P198" s="215"/>
      <c r="Q198" s="215"/>
      <c r="R198" s="216"/>
      <c r="S198" s="216"/>
      <c r="T198" s="215"/>
      <c r="U198" s="215"/>
      <c r="V198" s="219"/>
      <c r="W198" s="219"/>
      <c r="X198" s="225"/>
      <c r="Y198" s="200"/>
      <c r="Z198" s="200"/>
      <c r="AA198" s="200"/>
      <c r="AB198" s="200"/>
      <c r="AC198" s="200"/>
      <c r="AD198" s="200"/>
      <c r="AE198" s="200"/>
      <c r="AF198" s="200"/>
      <c r="AG198" s="200"/>
      <c r="AH198" s="200"/>
      <c r="AI198" s="200"/>
      <c r="AJ198" s="224"/>
      <c r="AK198" s="210"/>
      <c r="AL198" s="210"/>
    </row>
    <row r="199" spans="1:38" s="197" customFormat="1">
      <c r="A199" s="200" t="s">
        <v>191</v>
      </c>
      <c r="B199" s="200"/>
      <c r="C199" s="531">
        <f>SUM(V197:W197)</f>
        <v>21</v>
      </c>
      <c r="D199" s="533"/>
      <c r="E199" s="200" t="s">
        <v>58</v>
      </c>
      <c r="F199" s="200"/>
      <c r="G199" s="200"/>
      <c r="H199" s="200"/>
      <c r="I199" s="200"/>
      <c r="J199" s="200"/>
      <c r="K199" s="200"/>
      <c r="L199" s="200"/>
      <c r="M199" s="200"/>
      <c r="N199" s="199"/>
      <c r="O199" s="199"/>
      <c r="P199" s="200"/>
      <c r="Q199" s="200"/>
      <c r="R199" s="200"/>
      <c r="S199" s="199"/>
      <c r="T199" s="200"/>
      <c r="U199" s="200"/>
      <c r="V199" s="200"/>
      <c r="W199" s="200"/>
      <c r="X199" s="200"/>
      <c r="Y199" s="200"/>
      <c r="Z199" s="200"/>
      <c r="AA199" s="200"/>
      <c r="AB199" s="200"/>
      <c r="AC199" s="200"/>
      <c r="AD199" s="200"/>
      <c r="AE199" s="200"/>
      <c r="AF199" s="200"/>
      <c r="AG199" s="200"/>
      <c r="AH199" s="200"/>
      <c r="AI199" s="200"/>
      <c r="AJ199" s="224"/>
      <c r="AK199" s="210"/>
      <c r="AL199" s="210"/>
    </row>
    <row r="200" spans="1:38" s="197" customFormat="1">
      <c r="A200" s="200"/>
      <c r="B200" s="200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199"/>
      <c r="O200" s="199"/>
      <c r="P200" s="200"/>
      <c r="Q200" s="200"/>
      <c r="R200" s="200"/>
      <c r="S200" s="199"/>
      <c r="T200" s="200"/>
      <c r="U200" s="200"/>
      <c r="V200" s="200"/>
      <c r="W200" s="200"/>
      <c r="X200" s="200"/>
      <c r="Y200" s="200"/>
      <c r="Z200" s="200"/>
      <c r="AA200" s="200"/>
      <c r="AB200" s="200"/>
      <c r="AC200" s="200"/>
      <c r="AD200" s="200"/>
      <c r="AE200" s="200"/>
      <c r="AF200" s="200"/>
      <c r="AG200" s="200"/>
      <c r="AH200" s="200"/>
      <c r="AI200" s="200"/>
      <c r="AJ200" s="224"/>
      <c r="AK200" s="210"/>
      <c r="AL200" s="210"/>
    </row>
    <row r="201" spans="1:38" s="197" customFormat="1" ht="29.25" customHeight="1">
      <c r="A201" s="529" t="s">
        <v>414</v>
      </c>
      <c r="B201" s="529"/>
      <c r="C201" s="529"/>
      <c r="D201" s="529"/>
      <c r="E201" s="529"/>
      <c r="F201" s="529"/>
      <c r="G201" s="529"/>
      <c r="H201" s="529"/>
      <c r="I201" s="529"/>
      <c r="J201" s="529"/>
      <c r="K201" s="529"/>
      <c r="L201" s="529"/>
      <c r="M201" s="529"/>
      <c r="N201" s="529"/>
      <c r="O201" s="529"/>
      <c r="P201" s="529"/>
      <c r="Q201" s="529"/>
      <c r="R201" s="529"/>
      <c r="S201" s="529"/>
      <c r="T201" s="529"/>
      <c r="U201" s="529"/>
      <c r="V201" s="529"/>
      <c r="W201" s="529"/>
      <c r="X201" s="529"/>
      <c r="Y201" s="529"/>
      <c r="Z201" s="529"/>
      <c r="AA201" s="529"/>
      <c r="AB201" s="529"/>
      <c r="AC201" s="529"/>
      <c r="AD201" s="529"/>
      <c r="AE201" s="529"/>
      <c r="AF201" s="529"/>
      <c r="AG201" s="529"/>
      <c r="AH201" s="529"/>
      <c r="AI201" s="529"/>
      <c r="AJ201" s="224"/>
      <c r="AK201" s="210"/>
      <c r="AL201" s="210"/>
    </row>
    <row r="202" spans="1:38" s="197" customFormat="1">
      <c r="A202" s="200"/>
      <c r="B202" s="200"/>
      <c r="C202" s="200"/>
      <c r="D202" s="200"/>
      <c r="E202" s="200"/>
      <c r="F202" s="200"/>
      <c r="G202" s="200"/>
      <c r="H202" s="200"/>
      <c r="I202" s="200"/>
      <c r="J202" s="200"/>
      <c r="K202" s="200"/>
      <c r="L202" s="200"/>
      <c r="M202" s="200"/>
      <c r="N202" s="199"/>
      <c r="O202" s="199"/>
      <c r="P202" s="200"/>
      <c r="Q202" s="200"/>
      <c r="R202" s="200"/>
      <c r="S202" s="199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24"/>
      <c r="AK202" s="210"/>
      <c r="AL202" s="210"/>
    </row>
    <row r="203" spans="1:38" s="197" customFormat="1">
      <c r="A203" s="530" t="s">
        <v>330</v>
      </c>
      <c r="B203" s="530"/>
      <c r="C203" s="530"/>
      <c r="D203" s="530"/>
      <c r="E203" s="530"/>
      <c r="F203" s="530"/>
      <c r="G203" s="530"/>
      <c r="H203" s="530"/>
      <c r="I203" s="530"/>
      <c r="J203" s="530"/>
      <c r="K203" s="530"/>
      <c r="L203" s="530"/>
      <c r="M203" s="530"/>
      <c r="N203" s="530"/>
      <c r="O203" s="530"/>
      <c r="P203" s="530"/>
      <c r="Q203" s="530"/>
      <c r="R203" s="530"/>
      <c r="S203" s="530"/>
      <c r="T203" s="530"/>
      <c r="U203" s="530"/>
      <c r="V203" s="530"/>
      <c r="W203" s="530"/>
      <c r="X203" s="530"/>
      <c r="Y203" s="530"/>
      <c r="Z203" s="530"/>
      <c r="AA203" s="530"/>
      <c r="AB203" s="530"/>
      <c r="AC203" s="530"/>
      <c r="AD203" s="530"/>
      <c r="AE203" s="530"/>
      <c r="AF203" s="530"/>
      <c r="AG203" s="530"/>
      <c r="AH203" s="530"/>
      <c r="AI203" s="530"/>
      <c r="AJ203" s="224"/>
      <c r="AK203" s="210"/>
      <c r="AL203" s="210"/>
    </row>
    <row r="204" spans="1:38" s="197" customFormat="1">
      <c r="A204" s="200"/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199"/>
      <c r="O204" s="199"/>
      <c r="P204" s="200"/>
      <c r="Q204" s="200"/>
      <c r="R204" s="200"/>
      <c r="S204" s="199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26"/>
      <c r="AK204" s="210"/>
      <c r="AL204" s="210"/>
    </row>
    <row r="205" spans="1:38" s="197" customFormat="1">
      <c r="A205" s="526" t="s">
        <v>350</v>
      </c>
      <c r="B205" s="526"/>
      <c r="C205" s="526"/>
      <c r="D205" s="526"/>
      <c r="E205" s="526"/>
      <c r="F205" s="526"/>
      <c r="G205" s="533">
        <f>G197</f>
        <v>93.32</v>
      </c>
      <c r="H205" s="533"/>
      <c r="I205" s="200" t="s">
        <v>148</v>
      </c>
      <c r="J205" s="225"/>
      <c r="K205" s="225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24"/>
      <c r="AK205" s="210"/>
      <c r="AL205" s="210"/>
    </row>
    <row r="206" spans="1:38" s="197" customFormat="1">
      <c r="A206" s="215"/>
      <c r="B206" s="215"/>
      <c r="C206" s="215"/>
      <c r="D206" s="215"/>
      <c r="E206" s="215"/>
      <c r="F206" s="215"/>
      <c r="G206" s="205"/>
      <c r="H206" s="205"/>
      <c r="I206" s="200"/>
      <c r="J206" s="216"/>
      <c r="K206" s="216"/>
      <c r="L206" s="214"/>
      <c r="M206" s="214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24"/>
      <c r="AK206" s="210"/>
      <c r="AL206" s="210"/>
    </row>
    <row r="207" spans="1:38" s="197" customFormat="1">
      <c r="A207" s="526" t="s">
        <v>191</v>
      </c>
      <c r="B207" s="526"/>
      <c r="C207" s="533">
        <f>SUM(G205:H205)</f>
        <v>93.32</v>
      </c>
      <c r="D207" s="533"/>
      <c r="E207" s="215" t="s">
        <v>148</v>
      </c>
      <c r="F207" s="215"/>
      <c r="G207" s="205"/>
      <c r="H207" s="205"/>
      <c r="I207" s="200"/>
      <c r="J207" s="216"/>
      <c r="K207" s="216"/>
      <c r="L207" s="214"/>
      <c r="M207" s="214"/>
      <c r="N207" s="200"/>
      <c r="O207" s="200"/>
      <c r="P207" s="200"/>
      <c r="Q207" s="200"/>
      <c r="R207" s="200"/>
      <c r="S207" s="200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/>
      <c r="AF207" s="200"/>
      <c r="AG207" s="200"/>
      <c r="AH207" s="200"/>
      <c r="AI207" s="200"/>
      <c r="AJ207" s="224"/>
      <c r="AK207" s="210"/>
      <c r="AL207" s="210"/>
    </row>
    <row r="208" spans="1:38" s="197" customFormat="1">
      <c r="A208" s="215"/>
      <c r="B208" s="215"/>
      <c r="C208" s="215"/>
      <c r="D208" s="215"/>
      <c r="E208" s="215"/>
      <c r="F208" s="215"/>
      <c r="G208" s="205"/>
      <c r="H208" s="205"/>
      <c r="I208" s="200"/>
      <c r="J208" s="216"/>
      <c r="K208" s="216"/>
      <c r="L208" s="214"/>
      <c r="M208" s="214"/>
      <c r="N208" s="200"/>
      <c r="O208" s="200"/>
      <c r="P208" s="200"/>
      <c r="Q208" s="200"/>
      <c r="R208" s="200"/>
      <c r="S208" s="200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/>
      <c r="AF208" s="200"/>
      <c r="AG208" s="200"/>
      <c r="AH208" s="200"/>
      <c r="AI208" s="200"/>
      <c r="AJ208" s="224"/>
      <c r="AK208" s="210"/>
      <c r="AL208" s="210"/>
    </row>
    <row r="209" spans="1:41" s="197" customFormat="1" ht="15">
      <c r="A209" s="534" t="s">
        <v>415</v>
      </c>
      <c r="B209" s="534"/>
      <c r="C209" s="534"/>
      <c r="D209" s="534"/>
      <c r="E209" s="534"/>
      <c r="F209" s="534"/>
      <c r="G209" s="534"/>
      <c r="H209" s="534"/>
      <c r="I209" s="534"/>
      <c r="J209" s="534"/>
      <c r="K209" s="534"/>
      <c r="L209" s="534"/>
      <c r="M209" s="534"/>
      <c r="N209" s="534"/>
      <c r="O209" s="534"/>
      <c r="P209" s="534"/>
      <c r="Q209" s="534"/>
      <c r="R209" s="534"/>
      <c r="S209" s="534"/>
      <c r="T209" s="534"/>
      <c r="U209" s="534"/>
      <c r="V209" s="534"/>
      <c r="W209" s="534"/>
      <c r="X209" s="534"/>
      <c r="Y209" s="534"/>
      <c r="Z209" s="534"/>
      <c r="AA209" s="534"/>
      <c r="AB209" s="534"/>
      <c r="AC209" s="534"/>
      <c r="AD209" s="534"/>
      <c r="AE209" s="534"/>
      <c r="AF209" s="534"/>
      <c r="AG209" s="534"/>
      <c r="AH209" s="534"/>
      <c r="AI209" s="534"/>
      <c r="AJ209" s="224"/>
      <c r="AK209" s="210"/>
      <c r="AL209" s="210"/>
    </row>
    <row r="210" spans="1:41" s="197" customFormat="1" ht="15" customHeight="1">
      <c r="A210" s="200"/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199"/>
      <c r="O210" s="199"/>
      <c r="P210" s="200"/>
      <c r="Q210" s="200"/>
      <c r="R210" s="200"/>
      <c r="S210" s="199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24"/>
      <c r="AK210" s="210"/>
      <c r="AL210" s="210"/>
    </row>
    <row r="211" spans="1:41" s="197" customFormat="1">
      <c r="A211" s="535" t="s">
        <v>342</v>
      </c>
      <c r="B211" s="535"/>
      <c r="C211" s="535"/>
      <c r="D211" s="535"/>
      <c r="E211" s="535"/>
      <c r="F211" s="535"/>
      <c r="G211" s="535"/>
      <c r="H211" s="535"/>
      <c r="I211" s="535"/>
      <c r="J211" s="535"/>
      <c r="K211" s="535"/>
      <c r="L211" s="535"/>
      <c r="M211" s="535"/>
      <c r="N211" s="535"/>
      <c r="O211" s="535"/>
      <c r="P211" s="535"/>
      <c r="Q211" s="535"/>
      <c r="R211" s="535"/>
      <c r="S211" s="535"/>
      <c r="T211" s="535"/>
      <c r="U211" s="535"/>
      <c r="V211" s="535"/>
      <c r="W211" s="535"/>
      <c r="X211" s="535"/>
      <c r="Y211" s="535"/>
      <c r="Z211" s="535"/>
      <c r="AA211" s="535"/>
      <c r="AB211" s="535"/>
      <c r="AC211" s="535"/>
      <c r="AD211" s="535"/>
      <c r="AE211" s="535"/>
      <c r="AF211" s="535"/>
      <c r="AG211" s="535"/>
      <c r="AH211" s="535"/>
      <c r="AI211" s="535"/>
      <c r="AJ211" s="224"/>
      <c r="AK211" s="210"/>
      <c r="AL211" s="210"/>
      <c r="AM211" s="227"/>
      <c r="AN211" s="228"/>
      <c r="AO211" s="228"/>
    </row>
    <row r="212" spans="1:41" s="197" customFormat="1">
      <c r="A212" s="200"/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199"/>
      <c r="O212" s="199"/>
      <c r="P212" s="200"/>
      <c r="Q212" s="200"/>
      <c r="R212" s="200"/>
      <c r="S212" s="199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24"/>
      <c r="AK212" s="210"/>
      <c r="AL212" s="210"/>
    </row>
    <row r="213" spans="1:41" s="197" customFormat="1">
      <c r="A213" s="526" t="s">
        <v>343</v>
      </c>
      <c r="B213" s="526"/>
      <c r="C213" s="526"/>
      <c r="D213" s="526"/>
      <c r="E213" s="526"/>
      <c r="F213" s="526"/>
      <c r="G213" s="536">
        <f>C181</f>
        <v>200.45</v>
      </c>
      <c r="H213" s="537"/>
      <c r="I213" s="200" t="s">
        <v>58</v>
      </c>
      <c r="J213" s="200"/>
      <c r="K213" s="200"/>
      <c r="L213" s="200"/>
      <c r="M213" s="200"/>
      <c r="N213" s="199"/>
      <c r="O213" s="199"/>
      <c r="P213" s="200"/>
      <c r="Q213" s="200"/>
      <c r="R213" s="200"/>
      <c r="S213" s="199"/>
      <c r="T213" s="200"/>
      <c r="U213" s="200"/>
      <c r="V213" s="200"/>
      <c r="W213" s="200"/>
      <c r="X213" s="200"/>
      <c r="Y213" s="200"/>
      <c r="Z213" s="200"/>
      <c r="AA213" s="200"/>
      <c r="AB213" s="200"/>
      <c r="AC213" s="200"/>
      <c r="AD213" s="200"/>
      <c r="AE213" s="200"/>
      <c r="AF213" s="200"/>
      <c r="AG213" s="200"/>
      <c r="AH213" s="200"/>
      <c r="AI213" s="200"/>
      <c r="AJ213" s="224"/>
      <c r="AK213" s="210"/>
      <c r="AL213" s="210"/>
    </row>
    <row r="214" spans="1:41" s="197" customFormat="1">
      <c r="A214" s="200"/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199"/>
      <c r="O214" s="199"/>
      <c r="P214" s="200"/>
      <c r="Q214" s="200"/>
      <c r="R214" s="200"/>
      <c r="S214" s="199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24"/>
      <c r="AK214" s="210"/>
      <c r="AL214" s="210"/>
    </row>
    <row r="215" spans="1:41" s="197" customFormat="1">
      <c r="A215" s="200" t="s">
        <v>199</v>
      </c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199"/>
      <c r="O215" s="199"/>
      <c r="P215" s="200"/>
      <c r="Q215" s="200"/>
      <c r="R215" s="200"/>
      <c r="S215" s="199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00"/>
      <c r="AF215" s="200"/>
      <c r="AG215" s="200"/>
      <c r="AH215" s="200"/>
      <c r="AI215" s="200"/>
      <c r="AJ215" s="224"/>
      <c r="AK215" s="210"/>
      <c r="AL215" s="210"/>
    </row>
    <row r="216" spans="1:41" s="197" customFormat="1">
      <c r="A216" s="200"/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199"/>
      <c r="O216" s="199"/>
      <c r="P216" s="200"/>
      <c r="Q216" s="200"/>
      <c r="R216" s="200"/>
      <c r="S216" s="199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24"/>
      <c r="AK216" s="210"/>
      <c r="AL216" s="210"/>
    </row>
    <row r="217" spans="1:41" s="197" customFormat="1">
      <c r="A217" s="526" t="s">
        <v>344</v>
      </c>
      <c r="B217" s="526"/>
      <c r="C217" s="526"/>
      <c r="D217" s="526"/>
      <c r="E217" s="526"/>
      <c r="F217" s="526"/>
      <c r="G217" s="531">
        <f>C199</f>
        <v>21</v>
      </c>
      <c r="H217" s="533"/>
      <c r="I217" s="200" t="s">
        <v>58</v>
      </c>
      <c r="J217" s="200"/>
      <c r="K217" s="200"/>
      <c r="L217" s="200"/>
      <c r="M217" s="200"/>
      <c r="N217" s="199"/>
      <c r="O217" s="199"/>
      <c r="P217" s="200"/>
      <c r="Q217" s="200"/>
      <c r="R217" s="200"/>
      <c r="S217" s="199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24"/>
      <c r="AK217" s="210"/>
      <c r="AL217" s="210"/>
    </row>
    <row r="218" spans="1:41" s="197" customFormat="1">
      <c r="A218" s="200"/>
      <c r="B218" s="200"/>
      <c r="C218" s="200"/>
      <c r="D218" s="200"/>
      <c r="E218" s="200"/>
      <c r="F218" s="200"/>
      <c r="G218" s="200"/>
      <c r="H218" s="200"/>
      <c r="I218" s="200"/>
      <c r="J218" s="200"/>
      <c r="K218" s="200"/>
      <c r="L218" s="200"/>
      <c r="M218" s="200"/>
      <c r="N218" s="199"/>
      <c r="O218" s="199"/>
      <c r="P218" s="200"/>
      <c r="Q218" s="200"/>
      <c r="R218" s="200"/>
      <c r="S218" s="199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528"/>
      <c r="AF218" s="528"/>
      <c r="AG218" s="200"/>
      <c r="AH218" s="200"/>
      <c r="AI218" s="200"/>
      <c r="AJ218" s="224"/>
      <c r="AK218" s="210"/>
      <c r="AL218" s="210"/>
    </row>
    <row r="219" spans="1:41" s="197" customFormat="1">
      <c r="A219" s="526" t="s">
        <v>345</v>
      </c>
      <c r="B219" s="526"/>
      <c r="C219" s="526"/>
      <c r="D219" s="526"/>
      <c r="E219" s="526"/>
      <c r="F219" s="526"/>
      <c r="G219" s="528" t="s">
        <v>81</v>
      </c>
      <c r="H219" s="528"/>
      <c r="I219" s="200"/>
      <c r="J219" s="528" t="s">
        <v>346</v>
      </c>
      <c r="K219" s="528"/>
      <c r="L219" s="200"/>
      <c r="M219" s="200"/>
      <c r="N219" s="199" t="s">
        <v>293</v>
      </c>
      <c r="O219" s="199"/>
      <c r="P219" s="200"/>
      <c r="Q219" s="200"/>
      <c r="R219" s="200"/>
      <c r="S219" s="199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24"/>
      <c r="AK219" s="210"/>
      <c r="AL219" s="210"/>
    </row>
    <row r="220" spans="1:41" s="197" customFormat="1">
      <c r="A220" s="526" t="s">
        <v>350</v>
      </c>
      <c r="B220" s="526"/>
      <c r="C220" s="526"/>
      <c r="D220" s="526"/>
      <c r="E220" s="526"/>
      <c r="F220" s="526"/>
      <c r="G220" s="533">
        <f>G197</f>
        <v>93.32</v>
      </c>
      <c r="H220" s="533"/>
      <c r="I220" s="200" t="s">
        <v>196</v>
      </c>
      <c r="J220" s="531">
        <v>0.17</v>
      </c>
      <c r="K220" s="531"/>
      <c r="L220" s="526" t="s">
        <v>206</v>
      </c>
      <c r="M220" s="526"/>
      <c r="N220" s="525">
        <f>G220*J220</f>
        <v>15.86</v>
      </c>
      <c r="O220" s="525"/>
      <c r="P220" s="199" t="s">
        <v>58</v>
      </c>
      <c r="Q220" s="200"/>
      <c r="R220" s="200"/>
      <c r="S220" s="199"/>
      <c r="T220" s="200"/>
      <c r="U220" s="200"/>
      <c r="V220" s="200"/>
      <c r="W220" s="200"/>
      <c r="X220" s="200"/>
      <c r="Y220" s="200"/>
      <c r="Z220" s="200"/>
      <c r="AA220" s="528"/>
      <c r="AB220" s="528"/>
      <c r="AC220" s="200"/>
      <c r="AD220" s="200"/>
      <c r="AE220" s="200"/>
      <c r="AF220" s="200"/>
      <c r="AG220" s="200"/>
      <c r="AH220" s="200"/>
      <c r="AI220" s="200"/>
      <c r="AJ220" s="224"/>
      <c r="AK220" s="210"/>
      <c r="AL220" s="210"/>
    </row>
    <row r="221" spans="1:41" s="197" customFormat="1">
      <c r="A221" s="200"/>
      <c r="B221" s="200"/>
      <c r="C221" s="200"/>
      <c r="D221" s="200"/>
      <c r="E221" s="200"/>
      <c r="F221" s="200"/>
      <c r="G221" s="200"/>
      <c r="H221" s="200"/>
      <c r="I221" s="200"/>
      <c r="J221" s="200"/>
      <c r="K221" s="200"/>
      <c r="L221" s="200"/>
      <c r="M221" s="200"/>
      <c r="N221" s="199"/>
      <c r="O221" s="199"/>
      <c r="P221" s="200"/>
      <c r="Q221" s="200"/>
      <c r="R221" s="200"/>
      <c r="S221" s="199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00"/>
      <c r="AF221" s="200"/>
      <c r="AG221" s="200"/>
      <c r="AH221" s="200"/>
      <c r="AI221" s="200"/>
      <c r="AJ221" s="224"/>
      <c r="AK221" s="210"/>
      <c r="AL221" s="210"/>
    </row>
    <row r="222" spans="1:41" s="197" customFormat="1">
      <c r="A222" s="526"/>
      <c r="B222" s="526"/>
      <c r="C222" s="526"/>
      <c r="D222" s="526"/>
      <c r="E222" s="526"/>
      <c r="F222" s="526"/>
      <c r="G222" s="528" t="s">
        <v>81</v>
      </c>
      <c r="H222" s="528"/>
      <c r="I222" s="200"/>
      <c r="J222" s="528" t="s">
        <v>338</v>
      </c>
      <c r="K222" s="528"/>
      <c r="L222" s="200"/>
      <c r="N222" s="528" t="s">
        <v>348</v>
      </c>
      <c r="O222" s="528"/>
      <c r="P222" s="199"/>
      <c r="Q222" s="200"/>
      <c r="R222" s="528" t="s">
        <v>340</v>
      </c>
      <c r="S222" s="528"/>
      <c r="T222" s="199"/>
      <c r="U222" s="200"/>
      <c r="V222" s="200" t="s">
        <v>293</v>
      </c>
      <c r="W222" s="200"/>
      <c r="X222" s="200"/>
      <c r="Y222" s="200"/>
      <c r="Z222" s="200"/>
      <c r="AA222" s="200"/>
      <c r="AB222" s="200"/>
      <c r="AC222" s="200"/>
      <c r="AD222" s="200"/>
      <c r="AE222" s="200"/>
      <c r="AF222" s="200"/>
      <c r="AG222" s="200"/>
      <c r="AH222" s="200"/>
      <c r="AI222" s="200"/>
      <c r="AJ222" s="224"/>
      <c r="AK222" s="210"/>
      <c r="AL222" s="210"/>
    </row>
    <row r="223" spans="1:41" s="197" customFormat="1">
      <c r="A223" s="526" t="s">
        <v>341</v>
      </c>
      <c r="B223" s="526"/>
      <c r="C223" s="526"/>
      <c r="D223" s="526"/>
      <c r="E223" s="526"/>
      <c r="F223" s="526"/>
      <c r="G223" s="531">
        <v>1.5</v>
      </c>
      <c r="H223" s="531"/>
      <c r="I223" s="200" t="s">
        <v>196</v>
      </c>
      <c r="J223" s="531">
        <v>1.5</v>
      </c>
      <c r="K223" s="531"/>
      <c r="L223" s="526" t="s">
        <v>196</v>
      </c>
      <c r="M223" s="526"/>
      <c r="N223" s="532">
        <v>1.23</v>
      </c>
      <c r="O223" s="532"/>
      <c r="P223" s="528" t="s">
        <v>196</v>
      </c>
      <c r="Q223" s="528"/>
      <c r="R223" s="531">
        <f>B239</f>
        <v>2</v>
      </c>
      <c r="S223" s="531"/>
      <c r="T223" s="526" t="s">
        <v>197</v>
      </c>
      <c r="U223" s="526"/>
      <c r="V223" s="527">
        <f>G223*J223*N223*R223</f>
        <v>5.54</v>
      </c>
      <c r="W223" s="527"/>
      <c r="X223" s="200" t="s">
        <v>58</v>
      </c>
      <c r="Y223" s="200"/>
      <c r="Z223" s="200"/>
      <c r="AA223" s="200"/>
      <c r="AB223" s="200"/>
      <c r="AC223" s="200"/>
      <c r="AD223" s="200"/>
      <c r="AE223" s="200"/>
      <c r="AF223" s="200"/>
      <c r="AG223" s="200"/>
      <c r="AH223" s="200"/>
      <c r="AI223" s="200"/>
      <c r="AJ223" s="224"/>
      <c r="AK223" s="210"/>
      <c r="AL223" s="210"/>
    </row>
    <row r="224" spans="1:41" s="197" customFormat="1">
      <c r="A224" s="215"/>
      <c r="B224" s="215"/>
      <c r="C224" s="215"/>
      <c r="D224" s="215"/>
      <c r="E224" s="215"/>
      <c r="F224" s="215"/>
      <c r="G224" s="216"/>
      <c r="H224" s="216"/>
      <c r="I224" s="200"/>
      <c r="J224" s="216"/>
      <c r="K224" s="216"/>
      <c r="L224" s="215"/>
      <c r="M224" s="215"/>
      <c r="N224" s="204"/>
      <c r="O224" s="204"/>
      <c r="P224" s="214"/>
      <c r="Q224" s="214"/>
      <c r="R224" s="216"/>
      <c r="S224" s="216"/>
      <c r="T224" s="215"/>
      <c r="U224" s="215"/>
      <c r="V224" s="219"/>
      <c r="W224" s="219"/>
      <c r="X224" s="200"/>
      <c r="Y224" s="200"/>
      <c r="Z224" s="200"/>
      <c r="AA224" s="200"/>
      <c r="AB224" s="200"/>
      <c r="AC224" s="200"/>
      <c r="AD224" s="200"/>
      <c r="AE224" s="200"/>
      <c r="AF224" s="200"/>
      <c r="AG224" s="200"/>
      <c r="AH224" s="200"/>
      <c r="AI224" s="200"/>
      <c r="AJ224" s="224"/>
      <c r="AK224" s="210"/>
      <c r="AL224" s="210"/>
    </row>
    <row r="225" spans="1:38" s="197" customFormat="1">
      <c r="A225" s="215" t="s">
        <v>349</v>
      </c>
      <c r="B225" s="215"/>
      <c r="C225" s="215"/>
      <c r="D225" s="525">
        <f>N220+V223+G217</f>
        <v>42.4</v>
      </c>
      <c r="E225" s="528"/>
      <c r="F225" s="215" t="s">
        <v>58</v>
      </c>
      <c r="G225" s="216"/>
      <c r="H225" s="216"/>
      <c r="I225" s="200"/>
      <c r="J225" s="216"/>
      <c r="K225" s="216"/>
      <c r="L225" s="215"/>
      <c r="M225" s="215"/>
      <c r="N225" s="204"/>
      <c r="O225" s="204"/>
      <c r="P225" s="214"/>
      <c r="Q225" s="214"/>
      <c r="R225" s="216"/>
      <c r="S225" s="216"/>
      <c r="T225" s="215"/>
      <c r="U225" s="215"/>
      <c r="V225" s="219"/>
      <c r="W225" s="219"/>
      <c r="X225" s="200"/>
      <c r="Y225" s="200"/>
      <c r="Z225" s="200"/>
      <c r="AA225" s="200"/>
      <c r="AB225" s="200"/>
      <c r="AC225" s="200"/>
      <c r="AD225" s="200"/>
      <c r="AE225" s="200"/>
      <c r="AF225" s="200"/>
      <c r="AG225" s="200"/>
      <c r="AH225" s="200"/>
      <c r="AI225" s="200"/>
      <c r="AJ225" s="224"/>
      <c r="AK225" s="210"/>
      <c r="AL225" s="210"/>
    </row>
    <row r="226" spans="1:38" s="197" customFormat="1">
      <c r="A226" s="215"/>
      <c r="B226" s="215"/>
      <c r="C226" s="215"/>
      <c r="D226" s="215"/>
      <c r="E226" s="215"/>
      <c r="F226" s="215"/>
      <c r="G226" s="216"/>
      <c r="H226" s="216"/>
      <c r="I226" s="200"/>
      <c r="J226" s="216"/>
      <c r="K226" s="216"/>
      <c r="L226" s="215"/>
      <c r="M226" s="215"/>
      <c r="N226" s="204"/>
      <c r="O226" s="204"/>
      <c r="P226" s="214"/>
      <c r="Q226" s="214"/>
      <c r="R226" s="216"/>
      <c r="S226" s="216"/>
      <c r="T226" s="215"/>
      <c r="U226" s="215"/>
      <c r="V226" s="219"/>
      <c r="W226" s="219"/>
      <c r="X226" s="200"/>
      <c r="Y226" s="200"/>
      <c r="Z226" s="200"/>
      <c r="AA226" s="200"/>
      <c r="AB226" s="200"/>
      <c r="AC226" s="200"/>
      <c r="AD226" s="200"/>
      <c r="AE226" s="200"/>
      <c r="AF226" s="200"/>
      <c r="AG226" s="200"/>
      <c r="AH226" s="200"/>
      <c r="AI226" s="200"/>
      <c r="AJ226" s="224"/>
      <c r="AK226" s="210"/>
      <c r="AL226" s="210"/>
    </row>
    <row r="227" spans="1:38" s="197" customFormat="1" ht="16.5">
      <c r="A227" s="200" t="s">
        <v>179</v>
      </c>
      <c r="B227" s="527">
        <f>G213-D225</f>
        <v>158.05000000000001</v>
      </c>
      <c r="C227" s="527"/>
      <c r="D227" s="527"/>
      <c r="E227" s="200" t="s">
        <v>359</v>
      </c>
      <c r="F227" s="200"/>
      <c r="G227" s="200"/>
      <c r="H227" s="200"/>
      <c r="I227" s="200"/>
      <c r="J227" s="200"/>
      <c r="K227" s="200"/>
      <c r="L227" s="200"/>
      <c r="M227" s="200"/>
      <c r="N227" s="199"/>
      <c r="O227" s="199"/>
      <c r="P227" s="200"/>
      <c r="Q227" s="200"/>
      <c r="R227" s="200"/>
      <c r="S227" s="199"/>
      <c r="T227" s="200"/>
      <c r="U227" s="200"/>
      <c r="V227" s="200"/>
      <c r="W227" s="200"/>
      <c r="X227" s="200"/>
      <c r="Y227" s="200"/>
      <c r="Z227" s="200"/>
      <c r="AA227" s="200"/>
      <c r="AB227" s="200"/>
      <c r="AC227" s="200"/>
      <c r="AD227" s="200"/>
      <c r="AE227" s="200"/>
      <c r="AF227" s="200"/>
      <c r="AG227" s="200"/>
      <c r="AH227" s="200"/>
      <c r="AI227" s="200"/>
      <c r="AJ227" s="224"/>
      <c r="AK227" s="210"/>
      <c r="AL227" s="210"/>
    </row>
    <row r="228" spans="1:38" s="197" customFormat="1">
      <c r="A228" s="200"/>
      <c r="B228" s="200"/>
      <c r="C228" s="200"/>
      <c r="D228" s="200"/>
      <c r="E228" s="200"/>
      <c r="F228" s="200"/>
      <c r="G228" s="200"/>
      <c r="H228" s="200"/>
      <c r="I228" s="200"/>
      <c r="J228" s="200"/>
      <c r="K228" s="200"/>
      <c r="L228" s="200"/>
      <c r="M228" s="200"/>
      <c r="N228" s="199"/>
      <c r="O228" s="199"/>
      <c r="P228" s="200"/>
      <c r="Q228" s="200"/>
      <c r="R228" s="200"/>
      <c r="S228" s="199"/>
      <c r="T228" s="200"/>
      <c r="U228" s="200"/>
      <c r="V228" s="200"/>
      <c r="W228" s="200"/>
      <c r="X228" s="200"/>
      <c r="Y228" s="200"/>
      <c r="Z228" s="200"/>
      <c r="AA228" s="200"/>
      <c r="AB228" s="200"/>
      <c r="AC228" s="200"/>
      <c r="AD228" s="200"/>
      <c r="AE228" s="200"/>
      <c r="AF228" s="200"/>
      <c r="AG228" s="200"/>
      <c r="AH228" s="200"/>
      <c r="AI228" s="200"/>
      <c r="AJ228" s="224"/>
      <c r="AK228" s="210"/>
      <c r="AL228" s="210"/>
    </row>
    <row r="229" spans="1:38" s="197" customFormat="1" ht="28.5" customHeight="1">
      <c r="A229" s="529" t="s">
        <v>516</v>
      </c>
      <c r="B229" s="529"/>
      <c r="C229" s="529"/>
      <c r="D229" s="529"/>
      <c r="E229" s="529"/>
      <c r="F229" s="529"/>
      <c r="G229" s="529"/>
      <c r="H229" s="529"/>
      <c r="I229" s="529"/>
      <c r="J229" s="529"/>
      <c r="K229" s="529"/>
      <c r="L229" s="529"/>
      <c r="M229" s="529"/>
      <c r="N229" s="529"/>
      <c r="O229" s="529"/>
      <c r="P229" s="529"/>
      <c r="Q229" s="529"/>
      <c r="R229" s="529"/>
      <c r="S229" s="529"/>
      <c r="T229" s="529"/>
      <c r="U229" s="529"/>
      <c r="V229" s="529"/>
      <c r="W229" s="529"/>
      <c r="X229" s="529"/>
      <c r="Y229" s="529"/>
      <c r="Z229" s="529"/>
      <c r="AA229" s="529"/>
      <c r="AB229" s="529"/>
      <c r="AC229" s="529"/>
      <c r="AD229" s="529"/>
      <c r="AE229" s="529"/>
      <c r="AF229" s="529"/>
      <c r="AG229" s="529"/>
      <c r="AH229" s="529"/>
      <c r="AI229" s="529"/>
      <c r="AJ229" s="224"/>
      <c r="AK229" s="210"/>
      <c r="AL229" s="210"/>
    </row>
    <row r="230" spans="1:38" s="197" customFormat="1">
      <c r="A230" s="200"/>
      <c r="B230" s="200"/>
      <c r="C230" s="200"/>
      <c r="D230" s="200"/>
      <c r="E230" s="200"/>
      <c r="F230" s="200"/>
      <c r="G230" s="200"/>
      <c r="H230" s="200"/>
      <c r="I230" s="200"/>
      <c r="J230" s="200"/>
      <c r="K230" s="200"/>
      <c r="L230" s="200"/>
      <c r="M230" s="200"/>
      <c r="N230" s="199"/>
      <c r="O230" s="199"/>
      <c r="P230" s="200"/>
      <c r="Q230" s="200"/>
      <c r="R230" s="200"/>
      <c r="S230" s="199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24"/>
      <c r="AK230" s="210"/>
      <c r="AL230" s="210"/>
    </row>
    <row r="231" spans="1:38" s="197" customFormat="1">
      <c r="A231" s="530" t="s">
        <v>355</v>
      </c>
      <c r="B231" s="530"/>
      <c r="C231" s="530"/>
      <c r="D231" s="530"/>
      <c r="E231" s="530"/>
      <c r="F231" s="530"/>
      <c r="G231" s="530"/>
      <c r="H231" s="530"/>
      <c r="I231" s="530"/>
      <c r="J231" s="530"/>
      <c r="K231" s="530"/>
      <c r="L231" s="530"/>
      <c r="M231" s="530"/>
      <c r="N231" s="530"/>
      <c r="O231" s="530"/>
      <c r="P231" s="530"/>
      <c r="Q231" s="530"/>
      <c r="R231" s="530"/>
      <c r="S231" s="530"/>
      <c r="T231" s="530"/>
      <c r="U231" s="530"/>
      <c r="V231" s="530"/>
      <c r="W231" s="530"/>
      <c r="X231" s="530"/>
      <c r="Y231" s="530"/>
      <c r="Z231" s="530"/>
      <c r="AA231" s="530"/>
      <c r="AB231" s="530"/>
      <c r="AC231" s="530"/>
      <c r="AD231" s="530"/>
      <c r="AE231" s="530"/>
      <c r="AF231" s="530"/>
      <c r="AG231" s="530"/>
      <c r="AH231" s="530"/>
      <c r="AI231" s="530"/>
      <c r="AJ231" s="224"/>
      <c r="AK231" s="210"/>
      <c r="AL231" s="210"/>
    </row>
    <row r="232" spans="1:38" s="197" customFormat="1">
      <c r="A232" s="200"/>
      <c r="B232" s="200"/>
      <c r="C232" s="200"/>
      <c r="D232" s="200"/>
      <c r="E232" s="200"/>
      <c r="F232" s="200"/>
      <c r="G232" s="200"/>
      <c r="H232" s="200"/>
      <c r="I232" s="200"/>
      <c r="J232" s="200"/>
      <c r="K232" s="200"/>
      <c r="L232" s="200"/>
      <c r="M232" s="200"/>
      <c r="N232" s="199"/>
      <c r="O232" s="199"/>
      <c r="P232" s="200"/>
      <c r="Q232" s="200"/>
      <c r="R232" s="200"/>
      <c r="S232" s="199"/>
      <c r="T232" s="200"/>
      <c r="U232" s="200"/>
      <c r="V232" s="200"/>
      <c r="W232" s="200"/>
      <c r="X232" s="200"/>
      <c r="Y232" s="200"/>
      <c r="Z232" s="200"/>
      <c r="AA232" s="200"/>
      <c r="AB232" s="200"/>
      <c r="AC232" s="200"/>
      <c r="AD232" s="200"/>
      <c r="AE232" s="200"/>
      <c r="AF232" s="200"/>
      <c r="AG232" s="200"/>
      <c r="AH232" s="200"/>
      <c r="AI232" s="200"/>
      <c r="AJ232" s="226"/>
      <c r="AK232" s="210"/>
      <c r="AL232" s="210"/>
    </row>
    <row r="233" spans="1:38" s="197" customFormat="1">
      <c r="A233" s="200" t="s">
        <v>179</v>
      </c>
      <c r="B233" s="525">
        <v>1</v>
      </c>
      <c r="C233" s="525"/>
      <c r="D233" s="200" t="s">
        <v>332</v>
      </c>
      <c r="E233" s="200"/>
      <c r="F233" s="200"/>
      <c r="G233" s="200"/>
      <c r="H233" s="200"/>
      <c r="I233" s="200"/>
      <c r="J233" s="200"/>
      <c r="K233" s="200"/>
      <c r="L233" s="200"/>
      <c r="M233" s="200"/>
      <c r="N233" s="199"/>
      <c r="O233" s="199"/>
      <c r="P233" s="200"/>
      <c r="Q233" s="200"/>
      <c r="R233" s="200"/>
      <c r="S233" s="199"/>
      <c r="T233" s="200"/>
      <c r="U233" s="200"/>
      <c r="V233" s="200"/>
      <c r="W233" s="200"/>
      <c r="X233" s="200"/>
      <c r="Y233" s="200"/>
      <c r="Z233" s="200"/>
      <c r="AA233" s="200"/>
      <c r="AB233" s="200"/>
      <c r="AC233" s="200"/>
      <c r="AD233" s="200"/>
      <c r="AE233" s="200"/>
      <c r="AF233" s="200"/>
      <c r="AG233" s="200"/>
      <c r="AH233" s="200"/>
      <c r="AI233" s="200"/>
      <c r="AJ233" s="224"/>
      <c r="AK233" s="210"/>
      <c r="AL233" s="210"/>
    </row>
    <row r="234" spans="1:38" s="197" customFormat="1">
      <c r="A234" s="200"/>
      <c r="B234" s="200"/>
      <c r="C234" s="200"/>
      <c r="D234" s="200"/>
      <c r="E234" s="200"/>
      <c r="F234" s="200"/>
      <c r="G234" s="200"/>
      <c r="H234" s="200"/>
      <c r="I234" s="200"/>
      <c r="J234" s="200"/>
      <c r="K234" s="200"/>
      <c r="L234" s="200"/>
      <c r="M234" s="200"/>
      <c r="N234" s="199"/>
      <c r="O234" s="199"/>
      <c r="P234" s="200"/>
      <c r="Q234" s="200"/>
      <c r="R234" s="200"/>
      <c r="S234" s="199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24"/>
      <c r="AK234" s="210"/>
      <c r="AL234" s="210"/>
    </row>
    <row r="235" spans="1:38" s="197" customFormat="1" ht="15" customHeight="1">
      <c r="A235" s="529" t="s">
        <v>435</v>
      </c>
      <c r="B235" s="529"/>
      <c r="C235" s="529"/>
      <c r="D235" s="529"/>
      <c r="E235" s="529"/>
      <c r="F235" s="529"/>
      <c r="G235" s="529"/>
      <c r="H235" s="529"/>
      <c r="I235" s="529"/>
      <c r="J235" s="529"/>
      <c r="K235" s="529"/>
      <c r="L235" s="529"/>
      <c r="M235" s="529"/>
      <c r="N235" s="529"/>
      <c r="O235" s="529"/>
      <c r="P235" s="529"/>
      <c r="Q235" s="529"/>
      <c r="R235" s="529"/>
      <c r="S235" s="529"/>
      <c r="T235" s="529"/>
      <c r="U235" s="529"/>
      <c r="V235" s="529"/>
      <c r="W235" s="529"/>
      <c r="X235" s="529"/>
      <c r="Y235" s="529"/>
      <c r="Z235" s="529"/>
      <c r="AA235" s="529"/>
      <c r="AB235" s="529"/>
      <c r="AC235" s="529"/>
      <c r="AD235" s="529"/>
      <c r="AE235" s="529"/>
      <c r="AF235" s="529"/>
      <c r="AG235" s="529"/>
      <c r="AH235" s="529"/>
      <c r="AI235" s="529"/>
      <c r="AJ235" s="224"/>
      <c r="AK235" s="210"/>
      <c r="AL235" s="210"/>
    </row>
    <row r="236" spans="1:38" s="197" customFormat="1">
      <c r="A236" s="200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199"/>
      <c r="O236" s="199"/>
      <c r="P236" s="200"/>
      <c r="Q236" s="200"/>
      <c r="R236" s="200"/>
      <c r="S236" s="199"/>
      <c r="T236" s="200"/>
      <c r="U236" s="200"/>
      <c r="V236" s="200"/>
      <c r="W236" s="200"/>
      <c r="X236" s="200"/>
      <c r="Y236" s="200"/>
      <c r="Z236" s="200"/>
      <c r="AA236" s="200"/>
      <c r="AB236" s="200"/>
      <c r="AC236" s="200"/>
      <c r="AD236" s="200"/>
      <c r="AE236" s="200"/>
      <c r="AF236" s="200"/>
      <c r="AG236" s="200"/>
      <c r="AH236" s="200"/>
      <c r="AI236" s="200"/>
      <c r="AJ236" s="224"/>
      <c r="AK236" s="210"/>
      <c r="AL236" s="210"/>
    </row>
    <row r="237" spans="1:38" s="197" customFormat="1">
      <c r="A237" s="530" t="s">
        <v>333</v>
      </c>
      <c r="B237" s="530"/>
      <c r="C237" s="530"/>
      <c r="D237" s="530"/>
      <c r="E237" s="530"/>
      <c r="F237" s="530"/>
      <c r="G237" s="530"/>
      <c r="H237" s="530"/>
      <c r="I237" s="530"/>
      <c r="J237" s="530"/>
      <c r="K237" s="530"/>
      <c r="L237" s="530"/>
      <c r="M237" s="530"/>
      <c r="N237" s="530"/>
      <c r="O237" s="530"/>
      <c r="P237" s="530"/>
      <c r="Q237" s="530"/>
      <c r="R237" s="530"/>
      <c r="S237" s="530"/>
      <c r="T237" s="530"/>
      <c r="U237" s="530"/>
      <c r="V237" s="530"/>
      <c r="W237" s="530"/>
      <c r="X237" s="530"/>
      <c r="Y237" s="530"/>
      <c r="Z237" s="530"/>
      <c r="AA237" s="530"/>
      <c r="AB237" s="530"/>
      <c r="AC237" s="530"/>
      <c r="AD237" s="530"/>
      <c r="AE237" s="530"/>
      <c r="AF237" s="530"/>
      <c r="AG237" s="530"/>
      <c r="AH237" s="530"/>
      <c r="AI237" s="530"/>
      <c r="AJ237" s="224"/>
      <c r="AK237" s="210"/>
      <c r="AL237" s="210"/>
    </row>
    <row r="238" spans="1:38" s="197" customFormat="1">
      <c r="A238" s="200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199"/>
      <c r="O238" s="199"/>
      <c r="P238" s="200"/>
      <c r="Q238" s="200"/>
      <c r="R238" s="200"/>
      <c r="S238" s="199"/>
      <c r="T238" s="200"/>
      <c r="U238" s="200"/>
      <c r="V238" s="200"/>
      <c r="W238" s="200"/>
      <c r="X238" s="200"/>
      <c r="Y238" s="200"/>
      <c r="Z238" s="200"/>
      <c r="AA238" s="200"/>
      <c r="AB238" s="200"/>
      <c r="AC238" s="200"/>
      <c r="AD238" s="200"/>
      <c r="AE238" s="200"/>
      <c r="AF238" s="200"/>
      <c r="AG238" s="200"/>
      <c r="AH238" s="200"/>
      <c r="AI238" s="200"/>
      <c r="AJ238" s="226"/>
      <c r="AK238" s="210"/>
      <c r="AL238" s="210"/>
    </row>
    <row r="239" spans="1:38" s="197" customFormat="1">
      <c r="A239" s="200" t="s">
        <v>179</v>
      </c>
      <c r="B239" s="525">
        <v>2</v>
      </c>
      <c r="C239" s="525"/>
      <c r="D239" s="200" t="s">
        <v>332</v>
      </c>
      <c r="E239" s="200"/>
      <c r="F239" s="200"/>
      <c r="G239" s="200"/>
      <c r="H239" s="200"/>
      <c r="I239" s="200"/>
      <c r="J239" s="200"/>
      <c r="K239" s="200"/>
      <c r="L239" s="200"/>
      <c r="M239" s="200"/>
      <c r="N239" s="199"/>
      <c r="O239" s="199"/>
      <c r="P239" s="200"/>
      <c r="Q239" s="200"/>
      <c r="R239" s="200"/>
      <c r="S239" s="199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  <c r="AJ239" s="224"/>
      <c r="AK239" s="210"/>
      <c r="AL239" s="210"/>
    </row>
    <row r="240" spans="1:38" s="197" customFormat="1">
      <c r="A240" s="200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199"/>
      <c r="O240" s="199"/>
      <c r="P240" s="200"/>
      <c r="Q240" s="200"/>
      <c r="R240" s="200"/>
      <c r="S240" s="199"/>
      <c r="T240" s="200"/>
      <c r="U240" s="200"/>
      <c r="V240" s="200"/>
      <c r="W240" s="200"/>
      <c r="X240" s="200"/>
      <c r="Y240" s="200"/>
      <c r="Z240" s="200"/>
      <c r="AA240" s="200"/>
      <c r="AB240" s="200"/>
      <c r="AC240" s="200"/>
      <c r="AD240" s="200"/>
      <c r="AE240" s="200"/>
      <c r="AF240" s="200"/>
      <c r="AG240" s="200"/>
      <c r="AH240" s="200"/>
      <c r="AI240" s="200"/>
      <c r="AJ240" s="224"/>
      <c r="AK240" s="210"/>
      <c r="AL240" s="210"/>
    </row>
    <row r="241" spans="1:40" s="197" customFormat="1" ht="15" customHeight="1">
      <c r="A241" s="529" t="s">
        <v>436</v>
      </c>
      <c r="B241" s="529"/>
      <c r="C241" s="529"/>
      <c r="D241" s="529"/>
      <c r="E241" s="529"/>
      <c r="F241" s="529"/>
      <c r="G241" s="529"/>
      <c r="H241" s="529"/>
      <c r="I241" s="529"/>
      <c r="J241" s="529"/>
      <c r="K241" s="529"/>
      <c r="L241" s="529"/>
      <c r="M241" s="529"/>
      <c r="N241" s="529"/>
      <c r="O241" s="529"/>
      <c r="P241" s="529"/>
      <c r="Q241" s="529"/>
      <c r="R241" s="529"/>
      <c r="S241" s="529"/>
      <c r="T241" s="529"/>
      <c r="U241" s="529"/>
      <c r="V241" s="529"/>
      <c r="W241" s="529"/>
      <c r="X241" s="529"/>
      <c r="Y241" s="529"/>
      <c r="Z241" s="529"/>
      <c r="AA241" s="529"/>
      <c r="AB241" s="529"/>
      <c r="AC241" s="529"/>
      <c r="AD241" s="529"/>
      <c r="AE241" s="529"/>
      <c r="AF241" s="529"/>
      <c r="AG241" s="529"/>
      <c r="AH241" s="529"/>
      <c r="AI241" s="529"/>
      <c r="AJ241" s="224"/>
      <c r="AK241" s="210"/>
      <c r="AL241" s="210"/>
    </row>
    <row r="242" spans="1:40" s="197" customFormat="1">
      <c r="A242" s="200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199"/>
      <c r="O242" s="199"/>
      <c r="P242" s="200"/>
      <c r="Q242" s="200"/>
      <c r="R242" s="200"/>
      <c r="S242" s="199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24"/>
      <c r="AK242" s="210"/>
      <c r="AL242" s="210"/>
    </row>
    <row r="243" spans="1:40" s="197" customFormat="1">
      <c r="A243" s="530" t="s">
        <v>334</v>
      </c>
      <c r="B243" s="530"/>
      <c r="C243" s="530"/>
      <c r="D243" s="530"/>
      <c r="E243" s="530"/>
      <c r="F243" s="530"/>
      <c r="G243" s="530"/>
      <c r="H243" s="530"/>
      <c r="I243" s="530"/>
      <c r="J243" s="530"/>
      <c r="K243" s="530"/>
      <c r="L243" s="530"/>
      <c r="M243" s="530"/>
      <c r="N243" s="530"/>
      <c r="O243" s="530"/>
      <c r="P243" s="530"/>
      <c r="Q243" s="530"/>
      <c r="R243" s="530"/>
      <c r="S243" s="530"/>
      <c r="T243" s="530"/>
      <c r="U243" s="530"/>
      <c r="V243" s="530"/>
      <c r="W243" s="530"/>
      <c r="X243" s="530"/>
      <c r="Y243" s="530"/>
      <c r="Z243" s="530"/>
      <c r="AA243" s="530"/>
      <c r="AB243" s="530"/>
      <c r="AC243" s="530"/>
      <c r="AD243" s="530"/>
      <c r="AE243" s="530"/>
      <c r="AF243" s="530"/>
      <c r="AG243" s="530"/>
      <c r="AH243" s="530"/>
      <c r="AI243" s="530"/>
      <c r="AJ243" s="224"/>
      <c r="AK243" s="210"/>
      <c r="AL243" s="210"/>
    </row>
    <row r="244" spans="1:40" s="197" customFormat="1">
      <c r="A244" s="200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199"/>
      <c r="O244" s="199"/>
      <c r="P244" s="200"/>
      <c r="Q244" s="200"/>
      <c r="R244" s="200"/>
      <c r="S244" s="199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26"/>
      <c r="AK244" s="210"/>
      <c r="AL244" s="210"/>
    </row>
    <row r="245" spans="1:40" s="197" customFormat="1">
      <c r="A245" s="200" t="s">
        <v>179</v>
      </c>
      <c r="B245" s="525">
        <f>B239</f>
        <v>2</v>
      </c>
      <c r="C245" s="525"/>
      <c r="D245" s="200" t="s">
        <v>332</v>
      </c>
      <c r="E245" s="200"/>
      <c r="F245" s="200"/>
      <c r="G245" s="200"/>
      <c r="H245" s="200"/>
      <c r="I245" s="200"/>
      <c r="J245" s="200"/>
      <c r="K245" s="200"/>
      <c r="L245" s="200"/>
      <c r="M245" s="200"/>
      <c r="N245" s="199"/>
      <c r="O245" s="199"/>
      <c r="P245" s="200"/>
      <c r="Q245" s="200"/>
      <c r="R245" s="200"/>
      <c r="S245" s="199"/>
      <c r="T245" s="200"/>
      <c r="U245" s="200"/>
      <c r="V245" s="200"/>
      <c r="W245" s="200"/>
      <c r="X245" s="200"/>
      <c r="Y245" s="200"/>
      <c r="Z245" s="200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24"/>
      <c r="AK245" s="210"/>
      <c r="AL245" s="210"/>
    </row>
    <row r="246" spans="1:40" s="197" customFormat="1">
      <c r="A246" s="200"/>
      <c r="B246" s="200"/>
      <c r="C246" s="200"/>
      <c r="D246" s="200"/>
      <c r="E246" s="200"/>
      <c r="F246" s="200"/>
      <c r="G246" s="200"/>
      <c r="H246" s="200"/>
      <c r="I246" s="200"/>
      <c r="J246" s="200"/>
      <c r="K246" s="200"/>
      <c r="L246" s="200"/>
      <c r="M246" s="200"/>
      <c r="N246" s="199"/>
      <c r="O246" s="199"/>
      <c r="P246" s="200"/>
      <c r="Q246" s="200"/>
      <c r="R246" s="200"/>
      <c r="S246" s="199"/>
      <c r="T246" s="200"/>
      <c r="U246" s="200"/>
      <c r="V246" s="200"/>
      <c r="W246" s="200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24"/>
      <c r="AK246" s="210"/>
      <c r="AL246" s="210"/>
    </row>
    <row r="247" spans="1:40" s="197" customFormat="1" ht="30" customHeight="1">
      <c r="A247" s="529" t="s">
        <v>514</v>
      </c>
      <c r="B247" s="529"/>
      <c r="C247" s="529"/>
      <c r="D247" s="529"/>
      <c r="E247" s="529"/>
      <c r="F247" s="529"/>
      <c r="G247" s="529"/>
      <c r="H247" s="529"/>
      <c r="I247" s="529"/>
      <c r="J247" s="529"/>
      <c r="K247" s="529"/>
      <c r="L247" s="529"/>
      <c r="M247" s="529"/>
      <c r="N247" s="529"/>
      <c r="O247" s="529"/>
      <c r="P247" s="529"/>
      <c r="Q247" s="529"/>
      <c r="R247" s="529"/>
      <c r="S247" s="529"/>
      <c r="T247" s="529"/>
      <c r="U247" s="529"/>
      <c r="V247" s="529"/>
      <c r="W247" s="529"/>
      <c r="X247" s="529"/>
      <c r="Y247" s="529"/>
      <c r="Z247" s="529"/>
      <c r="AA247" s="529"/>
      <c r="AB247" s="529"/>
      <c r="AC247" s="529"/>
      <c r="AD247" s="529"/>
      <c r="AE247" s="529"/>
      <c r="AF247" s="529"/>
      <c r="AG247" s="529"/>
      <c r="AH247" s="529"/>
      <c r="AI247" s="529"/>
      <c r="AJ247" s="224"/>
      <c r="AK247" s="210"/>
      <c r="AL247" s="210"/>
    </row>
    <row r="248" spans="1:40" s="197" customFormat="1">
      <c r="A248" s="200"/>
      <c r="B248" s="200"/>
      <c r="C248" s="200"/>
      <c r="D248" s="200"/>
      <c r="E248" s="200"/>
      <c r="F248" s="200"/>
      <c r="G248" s="200"/>
      <c r="H248" s="200"/>
      <c r="I248" s="200"/>
      <c r="J248" s="200"/>
      <c r="K248" s="200"/>
      <c r="L248" s="200"/>
      <c r="M248" s="200"/>
      <c r="N248" s="199"/>
      <c r="O248" s="199"/>
      <c r="P248" s="200"/>
      <c r="Q248" s="200"/>
      <c r="R248" s="200"/>
      <c r="S248" s="199"/>
      <c r="T248" s="200"/>
      <c r="U248" s="200"/>
      <c r="V248" s="200"/>
      <c r="W248" s="200"/>
      <c r="X248" s="200"/>
      <c r="Y248" s="200"/>
      <c r="Z248" s="200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24"/>
      <c r="AK248" s="210"/>
      <c r="AL248" s="210"/>
    </row>
    <row r="249" spans="1:40" s="197" customFormat="1">
      <c r="A249" s="530" t="s">
        <v>331</v>
      </c>
      <c r="B249" s="530"/>
      <c r="C249" s="530"/>
      <c r="D249" s="530"/>
      <c r="E249" s="530"/>
      <c r="F249" s="530"/>
      <c r="G249" s="530"/>
      <c r="H249" s="530"/>
      <c r="I249" s="530"/>
      <c r="J249" s="530"/>
      <c r="K249" s="530"/>
      <c r="L249" s="530"/>
      <c r="M249" s="530"/>
      <c r="N249" s="530"/>
      <c r="O249" s="530"/>
      <c r="P249" s="530"/>
      <c r="Q249" s="530"/>
      <c r="R249" s="530"/>
      <c r="S249" s="530"/>
      <c r="T249" s="530"/>
      <c r="U249" s="530"/>
      <c r="V249" s="530"/>
      <c r="W249" s="530"/>
      <c r="X249" s="530"/>
      <c r="Y249" s="530"/>
      <c r="Z249" s="530"/>
      <c r="AA249" s="530"/>
      <c r="AB249" s="530"/>
      <c r="AC249" s="530"/>
      <c r="AD249" s="530"/>
      <c r="AE249" s="530"/>
      <c r="AF249" s="530"/>
      <c r="AG249" s="530"/>
      <c r="AH249" s="530"/>
      <c r="AI249" s="530"/>
      <c r="AJ249" s="224"/>
      <c r="AK249" s="210"/>
      <c r="AL249" s="210"/>
    </row>
    <row r="250" spans="1:40" s="197" customFormat="1">
      <c r="A250" s="200"/>
      <c r="B250" s="200"/>
      <c r="C250" s="200"/>
      <c r="D250" s="200"/>
      <c r="E250" s="200"/>
      <c r="F250" s="200"/>
      <c r="G250" s="200"/>
      <c r="H250" s="200"/>
      <c r="I250" s="200"/>
      <c r="J250" s="200"/>
      <c r="K250" s="200"/>
      <c r="L250" s="200"/>
      <c r="M250" s="200"/>
      <c r="N250" s="199"/>
      <c r="O250" s="199"/>
      <c r="P250" s="200"/>
      <c r="Q250" s="200"/>
      <c r="R250" s="200"/>
      <c r="S250" s="199"/>
      <c r="T250" s="200"/>
      <c r="U250" s="200"/>
      <c r="V250" s="200"/>
      <c r="W250" s="200"/>
      <c r="X250" s="200"/>
      <c r="Y250" s="200"/>
      <c r="Z250" s="200"/>
      <c r="AA250" s="200"/>
      <c r="AB250" s="200"/>
      <c r="AC250" s="200"/>
      <c r="AD250" s="200"/>
      <c r="AE250" s="200"/>
      <c r="AF250" s="200"/>
      <c r="AG250" s="200"/>
      <c r="AH250" s="200"/>
      <c r="AI250" s="200"/>
      <c r="AJ250" s="224"/>
      <c r="AK250" s="210"/>
      <c r="AL250" s="210"/>
    </row>
    <row r="251" spans="1:40" s="197" customFormat="1">
      <c r="A251" s="200" t="s">
        <v>179</v>
      </c>
      <c r="B251" s="525">
        <f>1</f>
        <v>1</v>
      </c>
      <c r="C251" s="525"/>
      <c r="D251" s="200" t="s">
        <v>332</v>
      </c>
      <c r="E251" s="200"/>
      <c r="F251" s="200"/>
      <c r="G251" s="200"/>
      <c r="H251" s="200"/>
      <c r="I251" s="200"/>
      <c r="J251" s="200"/>
      <c r="K251" s="200"/>
      <c r="L251" s="200"/>
      <c r="M251" s="200"/>
      <c r="N251" s="199"/>
      <c r="O251" s="199"/>
      <c r="P251" s="200"/>
      <c r="Q251" s="200"/>
      <c r="R251" s="200"/>
      <c r="S251" s="199"/>
      <c r="T251" s="200"/>
      <c r="U251" s="200"/>
      <c r="V251" s="200"/>
      <c r="W251" s="200"/>
      <c r="X251" s="200"/>
      <c r="Y251" s="200"/>
      <c r="Z251" s="200"/>
      <c r="AA251" s="200"/>
      <c r="AB251" s="200"/>
      <c r="AC251" s="200"/>
      <c r="AD251" s="200"/>
      <c r="AE251" s="200"/>
      <c r="AF251" s="200"/>
      <c r="AG251" s="200"/>
      <c r="AH251" s="200"/>
      <c r="AI251" s="200"/>
      <c r="AJ251" s="224"/>
      <c r="AK251" s="210"/>
      <c r="AL251" s="210"/>
    </row>
    <row r="252" spans="1:40" s="197" customFormat="1">
      <c r="A252" s="200"/>
      <c r="B252" s="200"/>
      <c r="C252" s="200"/>
      <c r="D252" s="200"/>
      <c r="E252" s="200"/>
      <c r="F252" s="200"/>
      <c r="G252" s="200"/>
      <c r="H252" s="200"/>
      <c r="I252" s="200"/>
      <c r="J252" s="200"/>
      <c r="K252" s="200"/>
      <c r="L252" s="200"/>
      <c r="M252" s="200"/>
      <c r="N252" s="199"/>
      <c r="O252" s="199"/>
      <c r="P252" s="200"/>
      <c r="Q252" s="200"/>
      <c r="R252" s="200"/>
      <c r="S252" s="199"/>
      <c r="T252" s="200"/>
      <c r="U252" s="200"/>
      <c r="V252" s="200"/>
      <c r="W252" s="200"/>
      <c r="X252" s="200"/>
      <c r="Y252" s="200"/>
      <c r="Z252" s="200"/>
      <c r="AA252" s="200"/>
      <c r="AB252" s="200"/>
      <c r="AC252" s="200"/>
      <c r="AD252" s="200"/>
      <c r="AE252" s="200"/>
      <c r="AF252" s="200"/>
      <c r="AG252" s="200"/>
      <c r="AH252" s="200"/>
      <c r="AI252" s="200"/>
      <c r="AJ252" s="224"/>
      <c r="AK252" s="210"/>
      <c r="AL252" s="210"/>
    </row>
    <row r="253" spans="1:40" ht="15">
      <c r="A253" s="539" t="s">
        <v>367</v>
      </c>
      <c r="B253" s="540"/>
      <c r="C253" s="540"/>
      <c r="D253" s="540"/>
      <c r="E253" s="540"/>
      <c r="F253" s="540"/>
      <c r="G253" s="540"/>
      <c r="H253" s="540"/>
      <c r="I253" s="540"/>
      <c r="J253" s="540"/>
      <c r="K253" s="540"/>
      <c r="L253" s="540"/>
      <c r="M253" s="540"/>
      <c r="N253" s="540"/>
      <c r="O253" s="540"/>
      <c r="P253" s="540"/>
      <c r="Q253" s="540"/>
      <c r="R253" s="540"/>
      <c r="S253" s="540"/>
      <c r="T253" s="540"/>
      <c r="U253" s="540"/>
      <c r="V253" s="540"/>
      <c r="W253" s="540"/>
      <c r="X253" s="540"/>
      <c r="Y253" s="540"/>
      <c r="Z253" s="540"/>
      <c r="AA253" s="540"/>
      <c r="AB253" s="540"/>
      <c r="AC253" s="540"/>
      <c r="AD253" s="540"/>
      <c r="AE253" s="540"/>
      <c r="AF253" s="540"/>
      <c r="AG253" s="540"/>
      <c r="AH253" s="540"/>
      <c r="AI253" s="541"/>
      <c r="AJ253" s="201"/>
      <c r="AK253" s="202"/>
      <c r="AL253" s="202"/>
      <c r="AM253" s="203"/>
      <c r="AN253" s="203"/>
    </row>
    <row r="254" spans="1:40">
      <c r="AJ254" s="201"/>
      <c r="AK254" s="202"/>
      <c r="AL254" s="202"/>
      <c r="AM254" s="203"/>
      <c r="AN254" s="203"/>
    </row>
    <row r="255" spans="1:40" ht="15">
      <c r="A255" s="542" t="s">
        <v>430</v>
      </c>
      <c r="B255" s="542"/>
      <c r="C255" s="542"/>
      <c r="D255" s="542"/>
      <c r="E255" s="542"/>
      <c r="F255" s="542"/>
      <c r="G255" s="542"/>
      <c r="H255" s="542"/>
      <c r="I255" s="542"/>
      <c r="J255" s="542"/>
      <c r="K255" s="542"/>
      <c r="L255" s="542"/>
      <c r="M255" s="542"/>
      <c r="N255" s="542"/>
      <c r="O255" s="542"/>
      <c r="P255" s="542"/>
      <c r="Q255" s="542"/>
      <c r="R255" s="542"/>
      <c r="S255" s="542"/>
      <c r="T255" s="542"/>
      <c r="U255" s="542"/>
      <c r="V255" s="542"/>
      <c r="W255" s="542"/>
      <c r="X255" s="542"/>
      <c r="Y255" s="542"/>
      <c r="Z255" s="542"/>
      <c r="AA255" s="542"/>
      <c r="AB255" s="542"/>
      <c r="AC255" s="542"/>
      <c r="AD255" s="542"/>
      <c r="AE255" s="542"/>
      <c r="AF255" s="542"/>
      <c r="AG255" s="542"/>
      <c r="AH255" s="542"/>
      <c r="AI255" s="542"/>
    </row>
    <row r="257" spans="1:35">
      <c r="A257" s="530" t="s">
        <v>360</v>
      </c>
      <c r="B257" s="530"/>
      <c r="C257" s="530"/>
      <c r="D257" s="530"/>
      <c r="E257" s="530"/>
      <c r="F257" s="530"/>
      <c r="G257" s="530"/>
      <c r="H257" s="530"/>
      <c r="I257" s="530"/>
      <c r="J257" s="530"/>
      <c r="K257" s="530"/>
      <c r="L257" s="530"/>
      <c r="M257" s="530"/>
      <c r="N257" s="530"/>
      <c r="O257" s="530"/>
      <c r="P257" s="530"/>
      <c r="Q257" s="530"/>
      <c r="R257" s="530"/>
      <c r="S257" s="530"/>
      <c r="T257" s="530"/>
      <c r="U257" s="530"/>
      <c r="V257" s="530"/>
      <c r="W257" s="530"/>
      <c r="X257" s="530"/>
      <c r="Y257" s="530"/>
      <c r="Z257" s="530"/>
      <c r="AA257" s="530"/>
      <c r="AB257" s="530"/>
      <c r="AC257" s="530"/>
      <c r="AD257" s="530"/>
      <c r="AE257" s="530"/>
      <c r="AF257" s="530"/>
      <c r="AG257" s="530"/>
      <c r="AH257" s="530"/>
      <c r="AI257" s="530"/>
    </row>
    <row r="259" spans="1:35">
      <c r="A259" s="200" t="s">
        <v>230</v>
      </c>
      <c r="B259" s="543">
        <f>B77</f>
        <v>662.84</v>
      </c>
      <c r="C259" s="530"/>
      <c r="D259" s="530"/>
      <c r="E259" s="200" t="s">
        <v>85</v>
      </c>
    </row>
  </sheetData>
  <mergeCells count="322">
    <mergeCell ref="B251:C251"/>
    <mergeCell ref="B239:C239"/>
    <mergeCell ref="A241:AI241"/>
    <mergeCell ref="A243:AI243"/>
    <mergeCell ref="B245:C245"/>
    <mergeCell ref="A247:AI247"/>
    <mergeCell ref="A249:AI249"/>
    <mergeCell ref="T223:U223"/>
    <mergeCell ref="V223:W223"/>
    <mergeCell ref="D225:E225"/>
    <mergeCell ref="B227:D227"/>
    <mergeCell ref="A229:AI229"/>
    <mergeCell ref="A231:AI231"/>
    <mergeCell ref="B233:C233"/>
    <mergeCell ref="A235:AI235"/>
    <mergeCell ref="A237:AI237"/>
    <mergeCell ref="A222:F222"/>
    <mergeCell ref="G222:H222"/>
    <mergeCell ref="J222:K222"/>
    <mergeCell ref="N222:O222"/>
    <mergeCell ref="R222:S222"/>
    <mergeCell ref="A223:F223"/>
    <mergeCell ref="G223:H223"/>
    <mergeCell ref="J223:K223"/>
    <mergeCell ref="L223:M223"/>
    <mergeCell ref="N223:O223"/>
    <mergeCell ref="P223:Q223"/>
    <mergeCell ref="R223:S223"/>
    <mergeCell ref="AA220:AB220"/>
    <mergeCell ref="A203:AI203"/>
    <mergeCell ref="A207:B207"/>
    <mergeCell ref="C207:D207"/>
    <mergeCell ref="C199:D199"/>
    <mergeCell ref="A201:AI201"/>
    <mergeCell ref="L188:M188"/>
    <mergeCell ref="P188:Q188"/>
    <mergeCell ref="C190:D190"/>
    <mergeCell ref="A192:AI192"/>
    <mergeCell ref="A194:AI194"/>
    <mergeCell ref="G196:H196"/>
    <mergeCell ref="J196:K196"/>
    <mergeCell ref="N196:O196"/>
    <mergeCell ref="R196:S196"/>
    <mergeCell ref="V196:W196"/>
    <mergeCell ref="A209:AI209"/>
    <mergeCell ref="A211:AI211"/>
    <mergeCell ref="G219:H219"/>
    <mergeCell ref="A213:F213"/>
    <mergeCell ref="G213:H213"/>
    <mergeCell ref="A217:F217"/>
    <mergeCell ref="G217:H217"/>
    <mergeCell ref="A220:F220"/>
    <mergeCell ref="V179:W179"/>
    <mergeCell ref="G187:H187"/>
    <mergeCell ref="J187:K187"/>
    <mergeCell ref="L187:M187"/>
    <mergeCell ref="N187:O187"/>
    <mergeCell ref="P187:Q187"/>
    <mergeCell ref="R187:S187"/>
    <mergeCell ref="A183:AI183"/>
    <mergeCell ref="G185:H185"/>
    <mergeCell ref="J185:K185"/>
    <mergeCell ref="N185:O185"/>
    <mergeCell ref="R185:S185"/>
    <mergeCell ref="A186:F186"/>
    <mergeCell ref="G186:H186"/>
    <mergeCell ref="J186:K186"/>
    <mergeCell ref="L186:M186"/>
    <mergeCell ref="N186:O186"/>
    <mergeCell ref="P186:Q186"/>
    <mergeCell ref="R186:S186"/>
    <mergeCell ref="G220:H220"/>
    <mergeCell ref="J220:K220"/>
    <mergeCell ref="L220:M220"/>
    <mergeCell ref="G188:H188"/>
    <mergeCell ref="J188:K188"/>
    <mergeCell ref="N188:O188"/>
    <mergeCell ref="R188:S188"/>
    <mergeCell ref="V197:W197"/>
    <mergeCell ref="A205:F205"/>
    <mergeCell ref="G205:H205"/>
    <mergeCell ref="N220:O220"/>
    <mergeCell ref="L177:M177"/>
    <mergeCell ref="N177:O177"/>
    <mergeCell ref="P177:Q177"/>
    <mergeCell ref="R177:S177"/>
    <mergeCell ref="T177:U177"/>
    <mergeCell ref="V177:W177"/>
    <mergeCell ref="AE218:AF218"/>
    <mergeCell ref="A219:F219"/>
    <mergeCell ref="J219:K219"/>
    <mergeCell ref="G178:H178"/>
    <mergeCell ref="J178:K178"/>
    <mergeCell ref="L178:M178"/>
    <mergeCell ref="N178:O178"/>
    <mergeCell ref="P178:Q178"/>
    <mergeCell ref="R178:S178"/>
    <mergeCell ref="T178:U178"/>
    <mergeCell ref="V178:W178"/>
    <mergeCell ref="G179:H179"/>
    <mergeCell ref="J179:K179"/>
    <mergeCell ref="L179:M179"/>
    <mergeCell ref="N179:O179"/>
    <mergeCell ref="P179:Q179"/>
    <mergeCell ref="R179:S179"/>
    <mergeCell ref="T179:U179"/>
    <mergeCell ref="A174:AI174"/>
    <mergeCell ref="C160:D160"/>
    <mergeCell ref="A253:AI253"/>
    <mergeCell ref="A255:AI255"/>
    <mergeCell ref="A257:AI257"/>
    <mergeCell ref="B259:D259"/>
    <mergeCell ref="A172:AI172"/>
    <mergeCell ref="G176:H176"/>
    <mergeCell ref="J176:K176"/>
    <mergeCell ref="N176:O176"/>
    <mergeCell ref="R176:S176"/>
    <mergeCell ref="V176:W176"/>
    <mergeCell ref="C181:D181"/>
    <mergeCell ref="A197:F197"/>
    <mergeCell ref="G197:H197"/>
    <mergeCell ref="J197:K197"/>
    <mergeCell ref="L197:M197"/>
    <mergeCell ref="N197:O197"/>
    <mergeCell ref="P197:Q197"/>
    <mergeCell ref="R197:S197"/>
    <mergeCell ref="T197:U197"/>
    <mergeCell ref="A177:F177"/>
    <mergeCell ref="G177:H177"/>
    <mergeCell ref="J177:K177"/>
    <mergeCell ref="A168:F168"/>
    <mergeCell ref="G168:H168"/>
    <mergeCell ref="J168:K168"/>
    <mergeCell ref="L168:M168"/>
    <mergeCell ref="N168:O168"/>
    <mergeCell ref="A162:AI162"/>
    <mergeCell ref="A164:AI164"/>
    <mergeCell ref="A166:AI166"/>
    <mergeCell ref="C170:D170"/>
    <mergeCell ref="AJ157:AK157"/>
    <mergeCell ref="B158:C158"/>
    <mergeCell ref="D158:E158"/>
    <mergeCell ref="B145:D145"/>
    <mergeCell ref="A147:AI147"/>
    <mergeCell ref="A149:AI150"/>
    <mergeCell ref="AJ151:AK151"/>
    <mergeCell ref="B153:C153"/>
    <mergeCell ref="G153:H153"/>
    <mergeCell ref="B154:C154"/>
    <mergeCell ref="D154:E154"/>
    <mergeCell ref="B157:C157"/>
    <mergeCell ref="G157:H157"/>
    <mergeCell ref="F132:G132"/>
    <mergeCell ref="I132:J132"/>
    <mergeCell ref="L132:M132"/>
    <mergeCell ref="E135:F135"/>
    <mergeCell ref="H135:I135"/>
    <mergeCell ref="J135:K135"/>
    <mergeCell ref="L135:M135"/>
    <mergeCell ref="A131:D131"/>
    <mergeCell ref="F131:G131"/>
    <mergeCell ref="H131:I131"/>
    <mergeCell ref="J131:K131"/>
    <mergeCell ref="L131:M131"/>
    <mergeCell ref="C138:D138"/>
    <mergeCell ref="A140:AI140"/>
    <mergeCell ref="A142:AI142"/>
    <mergeCell ref="C144:D144"/>
    <mergeCell ref="H144:I144"/>
    <mergeCell ref="K144:L144"/>
    <mergeCell ref="A136:D136"/>
    <mergeCell ref="F136:G136"/>
    <mergeCell ref="H136:I136"/>
    <mergeCell ref="J136:K136"/>
    <mergeCell ref="L136:M136"/>
    <mergeCell ref="N136:O136"/>
    <mergeCell ref="N130:O130"/>
    <mergeCell ref="N125:O125"/>
    <mergeCell ref="A126:D126"/>
    <mergeCell ref="F126:G126"/>
    <mergeCell ref="H126:I126"/>
    <mergeCell ref="J126:K126"/>
    <mergeCell ref="L126:M126"/>
    <mergeCell ref="N126:O126"/>
    <mergeCell ref="A127:D127"/>
    <mergeCell ref="F127:G127"/>
    <mergeCell ref="H127:I127"/>
    <mergeCell ref="A125:D125"/>
    <mergeCell ref="F125:G125"/>
    <mergeCell ref="H125:I125"/>
    <mergeCell ref="J125:K125"/>
    <mergeCell ref="L125:M125"/>
    <mergeCell ref="A130:D130"/>
    <mergeCell ref="F130:G130"/>
    <mergeCell ref="H130:I130"/>
    <mergeCell ref="J130:K130"/>
    <mergeCell ref="L130:M130"/>
    <mergeCell ref="J127:K127"/>
    <mergeCell ref="L127:M127"/>
    <mergeCell ref="N127:O127"/>
    <mergeCell ref="N131:O131"/>
    <mergeCell ref="N104:O104"/>
    <mergeCell ref="A105:D105"/>
    <mergeCell ref="F105:G105"/>
    <mergeCell ref="H105:I105"/>
    <mergeCell ref="J105:K105"/>
    <mergeCell ref="L105:M105"/>
    <mergeCell ref="N105:O105"/>
    <mergeCell ref="B95:D95"/>
    <mergeCell ref="A97:AI97"/>
    <mergeCell ref="A99:AI99"/>
    <mergeCell ref="A100:AI100"/>
    <mergeCell ref="A102:AI102"/>
    <mergeCell ref="A104:D104"/>
    <mergeCell ref="F104:G104"/>
    <mergeCell ref="H104:I104"/>
    <mergeCell ref="J104:K104"/>
    <mergeCell ref="L104:M104"/>
    <mergeCell ref="Q111:R111"/>
    <mergeCell ref="F112:G112"/>
    <mergeCell ref="H112:I112"/>
    <mergeCell ref="J112:K112"/>
    <mergeCell ref="L112:M112"/>
    <mergeCell ref="N112:O112"/>
    <mergeCell ref="F89:G89"/>
    <mergeCell ref="A90:AI90"/>
    <mergeCell ref="A92:AI92"/>
    <mergeCell ref="AJ92:AK92"/>
    <mergeCell ref="B94:D94"/>
    <mergeCell ref="G94:H94"/>
    <mergeCell ref="A82:AI82"/>
    <mergeCell ref="AJ83:AK83"/>
    <mergeCell ref="AM83:AN83"/>
    <mergeCell ref="A84:D84"/>
    <mergeCell ref="F84:G84"/>
    <mergeCell ref="A85:D85"/>
    <mergeCell ref="F85:G85"/>
    <mergeCell ref="A86:D86"/>
    <mergeCell ref="F86:G86"/>
    <mergeCell ref="F88:G88"/>
    <mergeCell ref="A81:AI81"/>
    <mergeCell ref="A71:AI71"/>
    <mergeCell ref="A73:AI73"/>
    <mergeCell ref="B75:C75"/>
    <mergeCell ref="G75:H75"/>
    <mergeCell ref="K75:L75"/>
    <mergeCell ref="O75:P75"/>
    <mergeCell ref="A63:AI63"/>
    <mergeCell ref="A65:AI65"/>
    <mergeCell ref="A66:AI66"/>
    <mergeCell ref="B67:C67"/>
    <mergeCell ref="G67:H67"/>
    <mergeCell ref="B69:D69"/>
    <mergeCell ref="E68:F68"/>
    <mergeCell ref="E76:F76"/>
    <mergeCell ref="A2:AI2"/>
    <mergeCell ref="A4:AI4"/>
    <mergeCell ref="A6:AI6"/>
    <mergeCell ref="A8:AI8"/>
    <mergeCell ref="B10:C10"/>
    <mergeCell ref="F10:G10"/>
    <mergeCell ref="J10:K10"/>
    <mergeCell ref="B44:C44"/>
    <mergeCell ref="D44:E44"/>
    <mergeCell ref="A33:AI33"/>
    <mergeCell ref="A35:AI35"/>
    <mergeCell ref="B37:C37"/>
    <mergeCell ref="D37:E37"/>
    <mergeCell ref="A40:AI40"/>
    <mergeCell ref="A42:AI42"/>
    <mergeCell ref="A12:AI12"/>
    <mergeCell ref="A14:AI14"/>
    <mergeCell ref="A15:AI15"/>
    <mergeCell ref="B16:C16"/>
    <mergeCell ref="G16:H16"/>
    <mergeCell ref="C18:E18"/>
    <mergeCell ref="E17:F17"/>
    <mergeCell ref="A106:D106"/>
    <mergeCell ref="F106:G106"/>
    <mergeCell ref="H106:I106"/>
    <mergeCell ref="J106:K106"/>
    <mergeCell ref="L106:M106"/>
    <mergeCell ref="N106:O106"/>
    <mergeCell ref="A20:AI20"/>
    <mergeCell ref="A22:AI22"/>
    <mergeCell ref="B24:C24"/>
    <mergeCell ref="A26:AI26"/>
    <mergeCell ref="A28:AI28"/>
    <mergeCell ref="B30:C30"/>
    <mergeCell ref="D30:E30"/>
    <mergeCell ref="A47:AI47"/>
    <mergeCell ref="A49:AI49"/>
    <mergeCell ref="B51:C51"/>
    <mergeCell ref="D51:E51"/>
    <mergeCell ref="A54:AI54"/>
    <mergeCell ref="A56:AI56"/>
    <mergeCell ref="B58:C58"/>
    <mergeCell ref="D58:E58"/>
    <mergeCell ref="A61:AI61"/>
    <mergeCell ref="B77:D77"/>
    <mergeCell ref="A79:AI79"/>
    <mergeCell ref="C107:D107"/>
    <mergeCell ref="E107:F107"/>
    <mergeCell ref="G107:H107"/>
    <mergeCell ref="I107:J107"/>
    <mergeCell ref="K107:L107"/>
    <mergeCell ref="A110:D110"/>
    <mergeCell ref="F110:G110"/>
    <mergeCell ref="H110:I110"/>
    <mergeCell ref="J110:K110"/>
    <mergeCell ref="L110:M110"/>
    <mergeCell ref="A121:AI121"/>
    <mergeCell ref="A115:AI115"/>
    <mergeCell ref="A117:AI117"/>
    <mergeCell ref="N110:O110"/>
    <mergeCell ref="F111:G111"/>
    <mergeCell ref="H111:I111"/>
    <mergeCell ref="J111:K111"/>
    <mergeCell ref="L111:M111"/>
    <mergeCell ref="N111:O111"/>
    <mergeCell ref="B119:C119"/>
    <mergeCell ref="D119:E119"/>
  </mergeCells>
  <printOptions horizontalCentered="1"/>
  <pageMargins left="0.25" right="0.25" top="0.75" bottom="0.75" header="0.3" footer="0.3"/>
  <pageSetup paperSize="9" scale="57" orientation="portrait" horizontalDpi="4294967293" verticalDpi="4294967293" r:id="rId1"/>
  <rowBreaks count="2" manualBreakCount="2">
    <brk id="119" max="34" man="1"/>
    <brk id="208" max="3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B1:AG57"/>
  <sheetViews>
    <sheetView view="pageBreakPreview" topLeftCell="A44" zoomScaleSheetLayoutView="100" workbookViewId="0">
      <selection activeCell="I56" sqref="I56"/>
    </sheetView>
  </sheetViews>
  <sheetFormatPr defaultColWidth="9.140625" defaultRowHeight="14.25"/>
  <cols>
    <col min="1" max="1" width="2.28515625" style="157" customWidth="1"/>
    <col min="2" max="2" width="13" style="234" customWidth="1"/>
    <col min="3" max="3" width="12.85546875" style="234" customWidth="1"/>
    <col min="4" max="4" width="9.140625" style="234"/>
    <col min="5" max="5" width="63.7109375" style="157" customWidth="1"/>
    <col min="6" max="6" width="9.140625" style="234"/>
    <col min="7" max="7" width="9.85546875" style="235" bestFit="1" customWidth="1"/>
    <col min="8" max="8" width="9.140625" style="235"/>
    <col min="9" max="9" width="11.7109375" style="235" customWidth="1"/>
    <col min="10" max="10" width="9.140625" style="157"/>
    <col min="11" max="11" width="9.140625" style="160"/>
    <col min="12" max="12" width="9.140625" style="157"/>
    <col min="13" max="13" width="10.140625" style="157" bestFit="1" customWidth="1"/>
    <col min="14" max="16384" width="9.140625" style="157"/>
  </cols>
  <sheetData>
    <row r="1" spans="2:11" s="153" customFormat="1" ht="21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.75" customHeight="1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233"/>
      <c r="F8" s="233"/>
      <c r="G8" s="233"/>
      <c r="H8" s="233"/>
      <c r="I8" s="233"/>
    </row>
    <row r="9" spans="2:11" ht="15" customHeight="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 ht="15" customHeight="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5.75" customHeight="1">
      <c r="B11" s="158" t="s">
        <v>121</v>
      </c>
      <c r="C11" s="159" t="str">
        <f>'RUA 4'!C11</f>
        <v>1054116-72</v>
      </c>
      <c r="D11" s="194"/>
      <c r="E11" s="194"/>
      <c r="F11" s="194"/>
      <c r="G11" s="194"/>
      <c r="H11" s="194"/>
      <c r="I11" s="194"/>
    </row>
    <row r="12" spans="2:11" ht="15" customHeight="1">
      <c r="B12" s="158" t="s">
        <v>122</v>
      </c>
      <c r="C12" s="515" t="s">
        <v>375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6'!A2</f>
        <v>Rua Alzira Joana da Conceição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s="355" customFormat="1" ht="28.5" customHeight="1">
      <c r="B15" s="521" t="s">
        <v>125</v>
      </c>
      <c r="C15" s="521"/>
      <c r="D15" s="522" t="str">
        <f>'RUA 5'!D15:G15</f>
        <v>Sistema Nacional de Pesquisas de Custos e Índices da Construção Civil - SINAPI / Outubro - 2018</v>
      </c>
      <c r="E15" s="522"/>
      <c r="F15" s="522"/>
      <c r="G15" s="522"/>
      <c r="H15" s="357" t="s">
        <v>126</v>
      </c>
      <c r="I15" s="358">
        <f>BDI!B14</f>
        <v>0.2203</v>
      </c>
      <c r="K15" s="359"/>
    </row>
    <row r="17" spans="2:11" ht="15">
      <c r="B17" s="518" t="s">
        <v>127</v>
      </c>
      <c r="C17" s="518" t="s">
        <v>52</v>
      </c>
      <c r="D17" s="518" t="s">
        <v>46</v>
      </c>
      <c r="E17" s="518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1" ht="15">
      <c r="B18" s="518"/>
      <c r="C18" s="518"/>
      <c r="D18" s="518"/>
      <c r="E18" s="518"/>
      <c r="F18" s="518"/>
      <c r="G18" s="519"/>
      <c r="H18" s="239" t="s">
        <v>132</v>
      </c>
      <c r="I18" s="239" t="s">
        <v>133</v>
      </c>
    </row>
    <row r="20" spans="2:11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610.89</v>
      </c>
    </row>
    <row r="21" spans="2:11">
      <c r="B21" s="176" t="s">
        <v>136</v>
      </c>
      <c r="C21" s="176" t="s">
        <v>137</v>
      </c>
      <c r="D21" s="176" t="s">
        <v>138</v>
      </c>
      <c r="E21" s="360" t="s">
        <v>231</v>
      </c>
      <c r="F21" s="176" t="s">
        <v>85</v>
      </c>
      <c r="G21" s="361">
        <f>'MEMORIAL 6'!J10</f>
        <v>0</v>
      </c>
      <c r="H21" s="361">
        <f>ROUND(K21+(K21*$I$15),2)</f>
        <v>381.08</v>
      </c>
      <c r="I21" s="361">
        <f>ROUND(G21*H21,2)</f>
        <v>0</v>
      </c>
      <c r="K21" s="160">
        <f>'RUA 4'!K21</f>
        <v>312.27999999999997</v>
      </c>
    </row>
    <row r="22" spans="2:11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6'!C18</f>
        <v>1154.2</v>
      </c>
      <c r="H22" s="361">
        <f>ROUND(K22+(K22*$I$15),2)</f>
        <v>0.35</v>
      </c>
      <c r="I22" s="361">
        <f>ROUND(G22*H22,2)</f>
        <v>403.97</v>
      </c>
      <c r="K22" s="160">
        <v>0.28999999999999998</v>
      </c>
    </row>
    <row r="23" spans="2:11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6'!B24</f>
        <v>2</v>
      </c>
      <c r="H23" s="361">
        <f>ROUND(K23+(K23*$I$15),2)</f>
        <v>103.46</v>
      </c>
      <c r="I23" s="361">
        <f>ROUND(G23*H23,2)</f>
        <v>206.92</v>
      </c>
      <c r="K23" s="160">
        <f>'RUA 4'!K23</f>
        <v>84.78</v>
      </c>
    </row>
    <row r="24" spans="2:11">
      <c r="B24" s="524"/>
      <c r="C24" s="524"/>
      <c r="D24" s="524"/>
      <c r="E24" s="524"/>
      <c r="F24" s="524"/>
      <c r="G24" s="524"/>
      <c r="H24" s="524"/>
      <c r="I24" s="524"/>
    </row>
    <row r="26" spans="2:11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89962.43</v>
      </c>
    </row>
    <row r="27" spans="2:11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6'!B69</f>
        <v>1154.2</v>
      </c>
      <c r="H27" s="361">
        <f>ROUND(K27+(K27*$I$15),2)</f>
        <v>1.43</v>
      </c>
      <c r="I27" s="361">
        <f t="shared" ref="I27:I35" si="0">ROUND(G27*H27,2)</f>
        <v>1650.51</v>
      </c>
      <c r="K27" s="160">
        <v>1.17</v>
      </c>
    </row>
    <row r="28" spans="2:11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ROUND('MEMORIAL 6'!B77,2)</f>
        <v>1154.2</v>
      </c>
      <c r="H28" s="361">
        <f>ROUND(K28+(K28*$I$15),2)</f>
        <v>50.13</v>
      </c>
      <c r="I28" s="361">
        <f t="shared" si="0"/>
        <v>57860.05</v>
      </c>
      <c r="K28" s="160">
        <f>'RUA 4'!K28</f>
        <v>41.08</v>
      </c>
    </row>
    <row r="29" spans="2:11">
      <c r="B29" s="176" t="s">
        <v>149</v>
      </c>
      <c r="C29" s="176" t="s">
        <v>150</v>
      </c>
      <c r="D29" s="176" t="s">
        <v>151</v>
      </c>
      <c r="E29" s="362" t="s">
        <v>369</v>
      </c>
      <c r="F29" s="242" t="s">
        <v>148</v>
      </c>
      <c r="G29" s="363">
        <f>'MEMORIAL 6'!F87</f>
        <v>341.98</v>
      </c>
      <c r="H29" s="363">
        <f t="shared" ref="H29:H35" si="1">ROUND(K29+(K29*$I$15),2)</f>
        <v>15.49</v>
      </c>
      <c r="I29" s="363">
        <f t="shared" si="0"/>
        <v>5297.27</v>
      </c>
      <c r="K29" s="160">
        <f>'RUA 4'!K29</f>
        <v>12.69</v>
      </c>
    </row>
    <row r="30" spans="2:11" ht="28.5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6'!B94</f>
        <v>18.600000000000001</v>
      </c>
      <c r="H30" s="361">
        <f t="shared" si="1"/>
        <v>15.49</v>
      </c>
      <c r="I30" s="361">
        <f t="shared" si="0"/>
        <v>288.11</v>
      </c>
      <c r="K30" s="160">
        <f>'RUA 4'!K30</f>
        <v>12.69</v>
      </c>
    </row>
    <row r="31" spans="2:11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6'!N108</f>
        <v>217.43</v>
      </c>
      <c r="H31" s="361">
        <f t="shared" si="1"/>
        <v>61.73</v>
      </c>
      <c r="I31" s="361">
        <f t="shared" si="0"/>
        <v>13421.95</v>
      </c>
      <c r="K31" s="160">
        <f>'RUA 4'!K31</f>
        <v>50.59</v>
      </c>
    </row>
    <row r="32" spans="2:11" ht="42.75">
      <c r="B32" s="176" t="s">
        <v>145</v>
      </c>
      <c r="C32" s="380" t="s">
        <v>364</v>
      </c>
      <c r="D32" s="176" t="s">
        <v>157</v>
      </c>
      <c r="E32" s="360" t="s">
        <v>156</v>
      </c>
      <c r="F32" s="176" t="s">
        <v>102</v>
      </c>
      <c r="G32" s="361">
        <f>ROUND('MEMORIAL 6'!B114,2)</f>
        <v>8</v>
      </c>
      <c r="H32" s="361">
        <f t="shared" si="1"/>
        <v>677.88</v>
      </c>
      <c r="I32" s="361">
        <f t="shared" si="0"/>
        <v>5423.04</v>
      </c>
      <c r="K32" s="160">
        <f>COMP!K72</f>
        <v>555.5</v>
      </c>
    </row>
    <row r="33" spans="2:33" ht="57" customHeight="1">
      <c r="B33" s="176" t="s">
        <v>145</v>
      </c>
      <c r="C33" s="380" t="s">
        <v>421</v>
      </c>
      <c r="D33" s="176" t="s">
        <v>159</v>
      </c>
      <c r="E33" s="360" t="str">
        <f>'RUA 4'!E33</f>
        <v>Piso tátil direcional e/ou alerta, de concreto, colorido, p/deficientes visuais, dimensões 25x25cm, aplicado com argamassa industrializada AC-II, rejuntado, exclusive regularização de base</v>
      </c>
      <c r="F33" s="176" t="s">
        <v>85</v>
      </c>
      <c r="G33" s="361">
        <f>'MEMORIAL 6'!C135</f>
        <v>70.25</v>
      </c>
      <c r="H33" s="361">
        <f t="shared" si="1"/>
        <v>82.39</v>
      </c>
      <c r="I33" s="361">
        <f t="shared" si="0"/>
        <v>5787.9</v>
      </c>
      <c r="K33" s="160">
        <f>COMP!K439</f>
        <v>67.52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6'!B142,2)</f>
        <v>102.59</v>
      </c>
      <c r="H34" s="361">
        <f t="shared" si="1"/>
        <v>1.04</v>
      </c>
      <c r="I34" s="361">
        <f t="shared" si="0"/>
        <v>106.69</v>
      </c>
      <c r="K34" s="160">
        <f>'RUA 4'!K34</f>
        <v>0.85</v>
      </c>
    </row>
    <row r="35" spans="2:33" ht="30" customHeight="1">
      <c r="B35" s="176" t="s">
        <v>161</v>
      </c>
      <c r="C35" s="364" t="s">
        <v>162</v>
      </c>
      <c r="D35" s="176" t="s">
        <v>365</v>
      </c>
      <c r="E35" s="362" t="s">
        <v>164</v>
      </c>
      <c r="F35" s="242" t="s">
        <v>85</v>
      </c>
      <c r="G35" s="361">
        <f>ROUND('MEMORIAL 6'!C158,2)</f>
        <v>0.4</v>
      </c>
      <c r="H35" s="361">
        <f t="shared" si="1"/>
        <v>317.27999999999997</v>
      </c>
      <c r="I35" s="361">
        <f t="shared" si="0"/>
        <v>126.91</v>
      </c>
      <c r="K35" s="160">
        <f>'RUA 4'!K35</f>
        <v>260</v>
      </c>
    </row>
    <row r="36" spans="2:33">
      <c r="B36" s="562"/>
      <c r="C36" s="563"/>
      <c r="D36" s="563"/>
      <c r="E36" s="563"/>
      <c r="F36" s="563"/>
      <c r="G36" s="563"/>
      <c r="H36" s="563"/>
      <c r="I36" s="564"/>
    </row>
    <row r="37" spans="2:33" customFormat="1" ht="15"/>
    <row r="38" spans="2:33" s="197" customFormat="1" ht="15">
      <c r="B38" s="238" t="s">
        <v>127</v>
      </c>
      <c r="C38" s="238" t="s">
        <v>52</v>
      </c>
      <c r="D38" s="238" t="s">
        <v>165</v>
      </c>
      <c r="E38" s="523" t="s">
        <v>309</v>
      </c>
      <c r="F38" s="523"/>
      <c r="G38" s="523"/>
      <c r="H38" s="523"/>
      <c r="I38" s="239">
        <f>SUM(I39:I47)</f>
        <v>16339.42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 s="197" customFormat="1">
      <c r="B39" s="376" t="s">
        <v>136</v>
      </c>
      <c r="C39" s="376">
        <v>73610</v>
      </c>
      <c r="D39" s="376" t="s">
        <v>167</v>
      </c>
      <c r="E39" s="377" t="s">
        <v>256</v>
      </c>
      <c r="F39" s="376" t="s">
        <v>148</v>
      </c>
      <c r="G39" s="378">
        <f>'MEMORIAL 6'!C168</f>
        <v>42</v>
      </c>
      <c r="H39" s="378">
        <f>ROUND(K39+(K39*$I$15),2)</f>
        <v>1.06</v>
      </c>
      <c r="I39" s="378">
        <f>ROUNDDOWN(G39*H39,2)</f>
        <v>44.52</v>
      </c>
      <c r="K39" s="210">
        <f>'RUA 1'!K39</f>
        <v>0.87</v>
      </c>
      <c r="L39" s="20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40"/>
      <c r="AD39" s="224"/>
      <c r="AE39" s="224"/>
      <c r="AF39" s="240"/>
      <c r="AG39" s="240"/>
    </row>
    <row r="40" spans="2:33" s="197" customFormat="1" ht="64.900000000000006" customHeight="1">
      <c r="B40" s="176" t="s">
        <v>136</v>
      </c>
      <c r="C40" s="176">
        <v>90092</v>
      </c>
      <c r="D40" s="176" t="s">
        <v>310</v>
      </c>
      <c r="E40" s="177" t="s">
        <v>311</v>
      </c>
      <c r="F40" s="176" t="s">
        <v>58</v>
      </c>
      <c r="G40" s="241">
        <f>'MEMORIAL 6'!C178</f>
        <v>97.2</v>
      </c>
      <c r="H40" s="241">
        <f t="shared" ref="H40:H47" si="2">ROUND(K40+(K40*$I$15),2)</f>
        <v>4.92</v>
      </c>
      <c r="I40" s="241">
        <f>ROUNDDOWN(G40*H40,2)</f>
        <v>478.22</v>
      </c>
      <c r="K40" s="210">
        <f>'RUA 1'!K40</f>
        <v>4.03</v>
      </c>
      <c r="L40" s="20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40"/>
      <c r="AD40" s="224"/>
      <c r="AE40" s="224"/>
      <c r="AF40" s="240"/>
      <c r="AG40" s="240"/>
    </row>
    <row r="41" spans="2:33" s="197" customFormat="1" ht="42.75">
      <c r="B41" s="176" t="s">
        <v>136</v>
      </c>
      <c r="C41" s="176">
        <v>94045</v>
      </c>
      <c r="D41" s="176" t="s">
        <v>312</v>
      </c>
      <c r="E41" s="177" t="s">
        <v>314</v>
      </c>
      <c r="F41" s="176" t="s">
        <v>85</v>
      </c>
      <c r="G41" s="241">
        <f>'MEMORIAL 6'!C186</f>
        <v>74.7</v>
      </c>
      <c r="H41" s="241">
        <f t="shared" si="2"/>
        <v>12.48</v>
      </c>
      <c r="I41" s="241">
        <f>ROUNDUP(G41*H41,2)</f>
        <v>932.26</v>
      </c>
      <c r="K41" s="210">
        <f>'RUA 1'!K41</f>
        <v>10.23</v>
      </c>
      <c r="L41" s="204"/>
      <c r="M41" s="210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40"/>
      <c r="AD41" s="224"/>
      <c r="AE41" s="224"/>
      <c r="AF41" s="240"/>
      <c r="AG41" s="240"/>
    </row>
    <row r="42" spans="2:33" s="197" customFormat="1">
      <c r="B42" s="176" t="s">
        <v>315</v>
      </c>
      <c r="C42" s="380" t="s">
        <v>363</v>
      </c>
      <c r="D42" s="176" t="s">
        <v>313</v>
      </c>
      <c r="E42" s="177" t="s">
        <v>95</v>
      </c>
      <c r="F42" s="176" t="s">
        <v>58</v>
      </c>
      <c r="G42" s="241">
        <f>'MEMORIAL 6'!C195</f>
        <v>9.4499999999999993</v>
      </c>
      <c r="H42" s="241">
        <f t="shared" si="2"/>
        <v>96.6</v>
      </c>
      <c r="I42" s="241">
        <f t="shared" ref="I42:I47" si="3">ROUND(G42*H42,2)</f>
        <v>912.87</v>
      </c>
      <c r="K42" s="210">
        <f>'RUA 1'!K42</f>
        <v>79.16</v>
      </c>
      <c r="L42" s="20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40"/>
      <c r="AD42" s="224"/>
      <c r="AE42" s="224"/>
      <c r="AF42" s="240"/>
      <c r="AG42" s="240"/>
    </row>
    <row r="43" spans="2:33" s="197" customFormat="1" ht="42.75">
      <c r="B43" s="242" t="s">
        <v>136</v>
      </c>
      <c r="C43" s="242">
        <v>92212</v>
      </c>
      <c r="D43" s="176" t="s">
        <v>316</v>
      </c>
      <c r="E43" s="177" t="s">
        <v>353</v>
      </c>
      <c r="F43" s="176" t="s">
        <v>148</v>
      </c>
      <c r="G43" s="241">
        <f>'MEMORIAL 6'!C203</f>
        <v>42</v>
      </c>
      <c r="H43" s="241">
        <f t="shared" si="2"/>
        <v>156.25</v>
      </c>
      <c r="I43" s="241">
        <f t="shared" si="3"/>
        <v>6562.5</v>
      </c>
      <c r="K43" s="210">
        <f>'RUA 1'!K43</f>
        <v>128.04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40"/>
      <c r="AD43" s="224"/>
      <c r="AE43" s="224"/>
      <c r="AF43" s="240"/>
      <c r="AG43" s="240"/>
    </row>
    <row r="44" spans="2:33" s="197" customFormat="1" ht="57">
      <c r="B44" s="176" t="s">
        <v>136</v>
      </c>
      <c r="C44" s="176">
        <v>93360</v>
      </c>
      <c r="D44" s="176" t="s">
        <v>317</v>
      </c>
      <c r="E44" s="177" t="s">
        <v>319</v>
      </c>
      <c r="F44" s="176" t="s">
        <v>58</v>
      </c>
      <c r="G44" s="241">
        <f>'MEMORIAL 6'!B223</f>
        <v>69.540000000000006</v>
      </c>
      <c r="H44" s="241">
        <f t="shared" si="2"/>
        <v>15.07</v>
      </c>
      <c r="I44" s="241">
        <f t="shared" si="3"/>
        <v>1047.97</v>
      </c>
      <c r="K44" s="210">
        <f>'RUA 1'!K44</f>
        <v>12.35</v>
      </c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40"/>
      <c r="AD44" s="224"/>
      <c r="AE44" s="224"/>
      <c r="AF44" s="240"/>
      <c r="AG44" s="240"/>
    </row>
    <row r="45" spans="2:33" s="197" customFormat="1" ht="42.75">
      <c r="B45" s="176" t="s">
        <v>136</v>
      </c>
      <c r="C45" s="242">
        <v>83659</v>
      </c>
      <c r="D45" s="176" t="s">
        <v>318</v>
      </c>
      <c r="E45" s="177" t="s">
        <v>322</v>
      </c>
      <c r="F45" s="176" t="s">
        <v>102</v>
      </c>
      <c r="G45" s="241">
        <f>'MEMORIAL 6'!B229</f>
        <v>4</v>
      </c>
      <c r="H45" s="241">
        <f t="shared" si="2"/>
        <v>709.47</v>
      </c>
      <c r="I45" s="241">
        <f t="shared" si="3"/>
        <v>2837.88</v>
      </c>
      <c r="K45" s="210">
        <f>'RUA 1'!K45</f>
        <v>581.39</v>
      </c>
      <c r="L45" s="20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40"/>
      <c r="AD45" s="224"/>
      <c r="AE45" s="224"/>
      <c r="AF45" s="240"/>
      <c r="AG45" s="240"/>
    </row>
    <row r="46" spans="2:33" s="197" customFormat="1" ht="28.5">
      <c r="B46" s="176" t="s">
        <v>315</v>
      </c>
      <c r="C46" s="381" t="s">
        <v>361</v>
      </c>
      <c r="D46" s="176" t="s">
        <v>320</v>
      </c>
      <c r="E46" s="177" t="s">
        <v>324</v>
      </c>
      <c r="F46" s="176" t="s">
        <v>102</v>
      </c>
      <c r="G46" s="241">
        <f>'MEMORIAL 6'!B235</f>
        <v>4</v>
      </c>
      <c r="H46" s="241">
        <f t="shared" si="2"/>
        <v>374.95</v>
      </c>
      <c r="I46" s="241">
        <f t="shared" si="3"/>
        <v>1499.8</v>
      </c>
      <c r="K46" s="210">
        <f>'RUA 1'!K46</f>
        <v>307.26</v>
      </c>
      <c r="L46" s="20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40"/>
      <c r="AD46" s="224"/>
      <c r="AE46" s="224"/>
      <c r="AF46" s="240"/>
      <c r="AG46" s="240"/>
    </row>
    <row r="47" spans="2:33" s="197" customFormat="1" ht="42.75">
      <c r="B47" s="176" t="s">
        <v>136</v>
      </c>
      <c r="C47" s="176" t="s">
        <v>326</v>
      </c>
      <c r="D47" s="176" t="s">
        <v>321</v>
      </c>
      <c r="E47" s="177" t="s">
        <v>327</v>
      </c>
      <c r="F47" s="176" t="s">
        <v>102</v>
      </c>
      <c r="G47" s="241">
        <f>'MEMORIAL 6'!B241</f>
        <v>2</v>
      </c>
      <c r="H47" s="241">
        <f t="shared" si="2"/>
        <v>1011.7</v>
      </c>
      <c r="I47" s="241">
        <f t="shared" si="3"/>
        <v>2023.4</v>
      </c>
      <c r="K47" s="210">
        <f>'RUA 1'!K47</f>
        <v>829.06</v>
      </c>
      <c r="L47" s="20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40"/>
      <c r="AD47" s="224"/>
      <c r="AE47" s="224"/>
      <c r="AF47" s="240"/>
      <c r="AG47" s="240"/>
    </row>
    <row r="48" spans="2:33" s="197" customFormat="1">
      <c r="B48" s="366"/>
      <c r="C48" s="366"/>
      <c r="D48" s="366"/>
      <c r="E48" s="367"/>
      <c r="F48" s="366"/>
      <c r="G48" s="368"/>
      <c r="H48" s="368"/>
      <c r="I48" s="368"/>
      <c r="K48" s="210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40"/>
      <c r="AA48" s="240"/>
      <c r="AB48" s="224"/>
      <c r="AC48" s="240"/>
      <c r="AD48" s="240"/>
      <c r="AE48" s="240"/>
      <c r="AF48" s="240"/>
      <c r="AG48" s="240"/>
    </row>
    <row r="49" spans="2:33" customFormat="1" ht="15">
      <c r="B49" s="371"/>
      <c r="C49" s="371"/>
      <c r="D49" s="371"/>
      <c r="E49" s="371"/>
      <c r="F49" s="371"/>
      <c r="G49" s="371"/>
      <c r="H49" s="371"/>
      <c r="I49" s="371"/>
    </row>
    <row r="50" spans="2:33" s="197" customFormat="1" ht="15">
      <c r="B50" s="369" t="s">
        <v>127</v>
      </c>
      <c r="C50" s="369" t="s">
        <v>52</v>
      </c>
      <c r="D50" s="369" t="s">
        <v>356</v>
      </c>
      <c r="E50" s="565" t="s">
        <v>166</v>
      </c>
      <c r="F50" s="565"/>
      <c r="G50" s="565"/>
      <c r="H50" s="565"/>
      <c r="I50" s="370">
        <f>SUM(I51)</f>
        <v>450.14</v>
      </c>
      <c r="K50" s="204"/>
      <c r="L50" s="20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40"/>
      <c r="AD50" s="224"/>
      <c r="AE50" s="224"/>
      <c r="AF50" s="240"/>
      <c r="AG50" s="240"/>
    </row>
    <row r="51" spans="2:33">
      <c r="B51" s="372" t="s">
        <v>158</v>
      </c>
      <c r="C51" s="372">
        <v>84523</v>
      </c>
      <c r="D51" s="372" t="s">
        <v>357</v>
      </c>
      <c r="E51" s="373" t="s">
        <v>168</v>
      </c>
      <c r="F51" s="372" t="s">
        <v>85</v>
      </c>
      <c r="G51" s="374">
        <f>'MEMORIAL 6'!B249</f>
        <v>1154.2</v>
      </c>
      <c r="H51" s="375">
        <f>ROUND(K51+(K51*$I$15),2)</f>
        <v>0.39</v>
      </c>
      <c r="I51" s="372">
        <f>ROUND(G51*H51,2)</f>
        <v>450.14</v>
      </c>
      <c r="K51" s="160">
        <v>0.32</v>
      </c>
    </row>
    <row r="52" spans="2:33">
      <c r="B52" s="524"/>
      <c r="C52" s="524"/>
      <c r="D52" s="524"/>
      <c r="E52" s="524"/>
      <c r="F52" s="524"/>
      <c r="G52" s="524"/>
      <c r="H52" s="524"/>
      <c r="I52" s="524"/>
    </row>
    <row r="53" spans="2:33">
      <c r="E53" s="245"/>
      <c r="G53" s="246"/>
      <c r="H53" s="234"/>
      <c r="I53" s="234"/>
    </row>
    <row r="54" spans="2:33">
      <c r="B54" s="518" t="s">
        <v>133</v>
      </c>
      <c r="C54" s="518"/>
      <c r="D54" s="518"/>
      <c r="E54" s="518"/>
      <c r="F54" s="518"/>
      <c r="G54" s="518"/>
      <c r="H54" s="518"/>
      <c r="I54" s="519">
        <f>I26+I20+I50+I38-0.01</f>
        <v>107362.87</v>
      </c>
    </row>
    <row r="55" spans="2:33">
      <c r="B55" s="518"/>
      <c r="C55" s="518"/>
      <c r="D55" s="518"/>
      <c r="E55" s="518"/>
      <c r="F55" s="518"/>
      <c r="G55" s="518"/>
      <c r="H55" s="518"/>
      <c r="I55" s="519"/>
    </row>
    <row r="57" spans="2:33">
      <c r="B57" s="245"/>
    </row>
  </sheetData>
  <mergeCells count="29">
    <mergeCell ref="E50:H50"/>
    <mergeCell ref="B52:I52"/>
    <mergeCell ref="B54:H55"/>
    <mergeCell ref="I54:I55"/>
    <mergeCell ref="H17:I17"/>
    <mergeCell ref="E20:H20"/>
    <mergeCell ref="B24:I24"/>
    <mergeCell ref="E26:H26"/>
    <mergeCell ref="B36:I36"/>
    <mergeCell ref="E38:H38"/>
    <mergeCell ref="B17:B18"/>
    <mergeCell ref="C17:C18"/>
    <mergeCell ref="D17:D18"/>
    <mergeCell ref="E17:E18"/>
    <mergeCell ref="F17:F18"/>
    <mergeCell ref="G17:G18"/>
    <mergeCell ref="B15:C15"/>
    <mergeCell ref="D15:G15"/>
    <mergeCell ref="B1:I1"/>
    <mergeCell ref="B2:I2"/>
    <mergeCell ref="B3:I3"/>
    <mergeCell ref="B4:I4"/>
    <mergeCell ref="B5:I5"/>
    <mergeCell ref="B6:I6"/>
    <mergeCell ref="B7:I7"/>
    <mergeCell ref="B9:I9"/>
    <mergeCell ref="B10:I10"/>
    <mergeCell ref="C12:I12"/>
    <mergeCell ref="C13:I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2:AO249"/>
  <sheetViews>
    <sheetView view="pageBreakPreview" topLeftCell="B178" zoomScaleSheetLayoutView="100" workbookViewId="0">
      <selection activeCell="N184" sqref="N184:O184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5" width="3.7109375" style="200" customWidth="1"/>
    <col min="6" max="6" width="5.140625" style="200" customWidth="1"/>
    <col min="7" max="8" width="3.7109375" style="200" customWidth="1"/>
    <col min="9" max="9" width="5.85546875" style="200" customWidth="1"/>
    <col min="10" max="13" width="3.7109375" style="200" customWidth="1"/>
    <col min="14" max="15" width="3.7109375" style="199" customWidth="1"/>
    <col min="16" max="18" width="3.7109375" style="200" customWidth="1"/>
    <col min="19" max="19" width="3.7109375" style="199" customWidth="1"/>
    <col min="20" max="34" width="3.71093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393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35" t="s">
        <v>171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0</v>
      </c>
      <c r="C10" s="543"/>
      <c r="D10" s="199" t="s">
        <v>148</v>
      </c>
      <c r="E10" s="198" t="s">
        <v>175</v>
      </c>
      <c r="F10" s="543">
        <f>AK10</f>
        <v>0</v>
      </c>
      <c r="G10" s="543"/>
      <c r="H10" s="199" t="s">
        <v>148</v>
      </c>
      <c r="I10" s="198" t="s">
        <v>176</v>
      </c>
      <c r="J10" s="543">
        <f>B10*F10</f>
        <v>0</v>
      </c>
      <c r="K10" s="543"/>
      <c r="L10" s="199" t="s">
        <v>85</v>
      </c>
      <c r="N10" s="198"/>
      <c r="O10" s="198"/>
      <c r="AJ10" s="201">
        <v>0</v>
      </c>
      <c r="AK10" s="201">
        <v>0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AJ75</f>
        <v>175.53</v>
      </c>
      <c r="C16" s="530"/>
      <c r="D16" s="200" t="s">
        <v>148</v>
      </c>
      <c r="E16" s="214" t="s">
        <v>175</v>
      </c>
      <c r="F16" s="205"/>
      <c r="G16" s="543">
        <f>AK75</f>
        <v>6.2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0">
      <c r="A17" s="200" t="s">
        <v>443</v>
      </c>
      <c r="B17" s="204"/>
      <c r="C17" s="204"/>
      <c r="D17" s="204"/>
      <c r="E17" s="525">
        <v>65.91</v>
      </c>
      <c r="F17" s="525"/>
      <c r="G17" s="200" t="s">
        <v>85</v>
      </c>
      <c r="AJ17" s="201"/>
      <c r="AK17" s="202"/>
      <c r="AL17" s="202"/>
      <c r="AM17" s="203"/>
      <c r="AN17" s="203"/>
    </row>
    <row r="18" spans="1:40">
      <c r="A18" s="200" t="s">
        <v>185</v>
      </c>
      <c r="B18" s="204"/>
      <c r="C18" s="525">
        <f>B16*G16+E17</f>
        <v>1154.2</v>
      </c>
      <c r="D18" s="525"/>
      <c r="E18" s="525"/>
      <c r="F18" s="206" t="s">
        <v>85</v>
      </c>
      <c r="AJ18" s="201"/>
      <c r="AK18" s="202"/>
      <c r="AL18" s="202"/>
      <c r="AM18" s="203"/>
      <c r="AN18" s="203"/>
    </row>
    <row r="19" spans="1:40">
      <c r="F19" s="216"/>
      <c r="G19" s="216"/>
      <c r="N19" s="200"/>
      <c r="O19" s="200"/>
      <c r="S19" s="200"/>
      <c r="AJ19" s="201"/>
      <c r="AK19" s="202"/>
      <c r="AL19" s="202"/>
      <c r="AM19" s="203"/>
      <c r="AN19" s="203"/>
    </row>
    <row r="20" spans="1:40" ht="15">
      <c r="A20" s="542" t="s">
        <v>428</v>
      </c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201"/>
      <c r="AK20" s="202"/>
      <c r="AL20" s="202"/>
      <c r="AM20" s="203"/>
      <c r="AN20" s="203"/>
    </row>
    <row r="21" spans="1:40">
      <c r="AJ21" s="201"/>
      <c r="AK21" s="202"/>
      <c r="AL21" s="202"/>
      <c r="AM21" s="203"/>
      <c r="AN21" s="203"/>
    </row>
    <row r="22" spans="1:40">
      <c r="A22" s="530" t="s">
        <v>442</v>
      </c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530"/>
      <c r="AB22" s="530"/>
      <c r="AC22" s="530"/>
      <c r="AD22" s="530"/>
      <c r="AE22" s="530"/>
      <c r="AF22" s="530"/>
      <c r="AG22" s="530"/>
      <c r="AH22" s="530"/>
      <c r="AI22" s="530"/>
      <c r="AJ22" s="201"/>
      <c r="AK22" s="202"/>
      <c r="AL22" s="202"/>
      <c r="AM22" s="203"/>
      <c r="AN22" s="203"/>
    </row>
    <row r="23" spans="1:40">
      <c r="AJ23" s="201" t="s">
        <v>178</v>
      </c>
      <c r="AK23" s="202"/>
      <c r="AL23" s="202"/>
      <c r="AM23" s="203"/>
      <c r="AN23" s="203"/>
    </row>
    <row r="24" spans="1:40">
      <c r="A24" s="200" t="s">
        <v>179</v>
      </c>
      <c r="B24" s="543">
        <f>AJ24</f>
        <v>2</v>
      </c>
      <c r="C24" s="543"/>
      <c r="D24" s="200" t="s">
        <v>102</v>
      </c>
      <c r="AJ24" s="201">
        <v>2</v>
      </c>
      <c r="AK24" s="202"/>
      <c r="AL24" s="202"/>
      <c r="AM24" s="203"/>
      <c r="AN24" s="203"/>
    </row>
    <row r="25" spans="1:40">
      <c r="AJ25" s="201"/>
      <c r="AK25" s="202"/>
      <c r="AL25" s="202"/>
      <c r="AM25" s="203"/>
      <c r="AN25" s="203"/>
    </row>
    <row r="26" spans="1:40" s="197" customFormat="1" ht="15" hidden="1">
      <c r="A26" s="559" t="s">
        <v>232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559"/>
      <c r="S26" s="559"/>
      <c r="T26" s="559"/>
      <c r="U26" s="559"/>
      <c r="V26" s="559"/>
      <c r="W26" s="559"/>
      <c r="X26" s="559"/>
      <c r="Y26" s="559"/>
      <c r="Z26" s="559"/>
      <c r="AA26" s="559"/>
      <c r="AB26" s="559"/>
      <c r="AC26" s="559"/>
      <c r="AD26" s="559"/>
      <c r="AE26" s="559"/>
      <c r="AF26" s="559"/>
      <c r="AG26" s="559"/>
      <c r="AH26" s="559"/>
      <c r="AI26" s="559"/>
      <c r="AJ26" s="207"/>
      <c r="AK26" s="208"/>
      <c r="AL26" s="208"/>
      <c r="AM26" s="209"/>
      <c r="AN26" s="209"/>
    </row>
    <row r="27" spans="1:40" s="197" customFormat="1" hidden="1">
      <c r="N27" s="210"/>
      <c r="O27" s="210"/>
      <c r="S27" s="210"/>
      <c r="AJ27" s="207"/>
      <c r="AK27" s="208"/>
      <c r="AL27" s="208"/>
      <c r="AM27" s="209"/>
      <c r="AN27" s="209"/>
    </row>
    <row r="28" spans="1:40" s="197" customFormat="1" hidden="1">
      <c r="A28" s="558" t="s">
        <v>233</v>
      </c>
      <c r="B28" s="558"/>
      <c r="C28" s="558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558"/>
      <c r="T28" s="558"/>
      <c r="U28" s="558"/>
      <c r="V28" s="558"/>
      <c r="W28" s="558"/>
      <c r="X28" s="558"/>
      <c r="Y28" s="558"/>
      <c r="Z28" s="558"/>
      <c r="AA28" s="558"/>
      <c r="AB28" s="558"/>
      <c r="AC28" s="558"/>
      <c r="AD28" s="558"/>
      <c r="AE28" s="558"/>
      <c r="AF28" s="558"/>
      <c r="AG28" s="558"/>
      <c r="AH28" s="558"/>
      <c r="AI28" s="558"/>
      <c r="AJ28" s="207"/>
      <c r="AK28" s="208"/>
      <c r="AL28" s="208"/>
      <c r="AM28" s="209"/>
      <c r="AN28" s="209"/>
    </row>
    <row r="29" spans="1:40" s="197" customFormat="1" hidden="1">
      <c r="N29" s="210"/>
      <c r="O29" s="210"/>
      <c r="S29" s="210"/>
      <c r="AJ29" s="207" t="s">
        <v>234</v>
      </c>
      <c r="AK29" s="208"/>
      <c r="AL29" s="208"/>
      <c r="AM29" s="209"/>
      <c r="AN29" s="209"/>
    </row>
    <row r="30" spans="1:40" s="197" customFormat="1" hidden="1">
      <c r="A30" s="197" t="s">
        <v>235</v>
      </c>
      <c r="B30" s="560">
        <f>AJ30</f>
        <v>1</v>
      </c>
      <c r="C30" s="560"/>
      <c r="D30" s="558" t="s">
        <v>102</v>
      </c>
      <c r="E30" s="558"/>
      <c r="N30" s="210"/>
      <c r="O30" s="210"/>
      <c r="S30" s="210"/>
      <c r="AJ30" s="207">
        <v>1</v>
      </c>
      <c r="AK30" s="208"/>
      <c r="AL30" s="208"/>
      <c r="AM30" s="209"/>
      <c r="AN30" s="209"/>
    </row>
    <row r="31" spans="1:40" s="197" customFormat="1" hidden="1">
      <c r="N31" s="210"/>
      <c r="O31" s="210"/>
      <c r="S31" s="210"/>
      <c r="AJ31" s="207"/>
      <c r="AK31" s="208"/>
      <c r="AL31" s="208"/>
      <c r="AM31" s="209"/>
      <c r="AN31" s="209"/>
    </row>
    <row r="32" spans="1:40" s="197" customFormat="1" hidden="1">
      <c r="N32" s="210"/>
      <c r="O32" s="210"/>
      <c r="S32" s="210"/>
      <c r="AJ32" s="207"/>
      <c r="AK32" s="208"/>
      <c r="AL32" s="208"/>
      <c r="AM32" s="209"/>
      <c r="AN32" s="209"/>
    </row>
    <row r="33" spans="1:40" s="197" customFormat="1" ht="15" hidden="1">
      <c r="A33" s="559" t="s">
        <v>236</v>
      </c>
      <c r="B33" s="559"/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9"/>
      <c r="V33" s="559"/>
      <c r="W33" s="559"/>
      <c r="X33" s="559"/>
      <c r="Y33" s="559"/>
      <c r="Z33" s="559"/>
      <c r="AA33" s="559"/>
      <c r="AB33" s="559"/>
      <c r="AC33" s="559"/>
      <c r="AD33" s="559"/>
      <c r="AE33" s="559"/>
      <c r="AF33" s="559"/>
      <c r="AG33" s="559"/>
      <c r="AH33" s="559"/>
      <c r="AI33" s="559"/>
      <c r="AJ33" s="207"/>
      <c r="AK33" s="208"/>
      <c r="AL33" s="208"/>
      <c r="AM33" s="209"/>
      <c r="AN33" s="209"/>
    </row>
    <row r="34" spans="1:40" s="197" customFormat="1" hidden="1">
      <c r="N34" s="210"/>
      <c r="O34" s="210"/>
      <c r="S34" s="210"/>
      <c r="AJ34" s="207"/>
      <c r="AK34" s="208"/>
      <c r="AL34" s="208"/>
      <c r="AM34" s="209"/>
      <c r="AN34" s="209"/>
    </row>
    <row r="35" spans="1:40" s="197" customFormat="1" hidden="1">
      <c r="A35" s="558" t="s">
        <v>233</v>
      </c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8"/>
      <c r="S35" s="558"/>
      <c r="T35" s="558"/>
      <c r="U35" s="558"/>
      <c r="V35" s="558"/>
      <c r="W35" s="558"/>
      <c r="X35" s="558"/>
      <c r="Y35" s="558"/>
      <c r="Z35" s="558"/>
      <c r="AA35" s="558"/>
      <c r="AB35" s="558"/>
      <c r="AC35" s="558"/>
      <c r="AD35" s="558"/>
      <c r="AE35" s="558"/>
      <c r="AF35" s="558"/>
      <c r="AG35" s="558"/>
      <c r="AH35" s="558"/>
      <c r="AI35" s="558"/>
      <c r="AJ35" s="207"/>
      <c r="AK35" s="208"/>
      <c r="AL35" s="208"/>
      <c r="AM35" s="209"/>
      <c r="AN35" s="209"/>
    </row>
    <row r="36" spans="1:40" s="197" customFormat="1" hidden="1">
      <c r="G36" s="197" t="e">
        <f>'MEMORIAL 6'!B20:D159</f>
        <v>#VALUE!</v>
      </c>
      <c r="N36" s="210"/>
      <c r="O36" s="210"/>
      <c r="S36" s="210"/>
      <c r="AJ36" s="207" t="s">
        <v>234</v>
      </c>
      <c r="AK36" s="208"/>
      <c r="AL36" s="208"/>
      <c r="AM36" s="209"/>
      <c r="AN36" s="209"/>
    </row>
    <row r="37" spans="1:40" s="197" customFormat="1" hidden="1">
      <c r="A37" s="197" t="s">
        <v>235</v>
      </c>
      <c r="B37" s="560">
        <f>AJ37</f>
        <v>1</v>
      </c>
      <c r="C37" s="560"/>
      <c r="D37" s="558" t="s">
        <v>102</v>
      </c>
      <c r="E37" s="558"/>
      <c r="N37" s="210"/>
      <c r="O37" s="210"/>
      <c r="S37" s="210"/>
      <c r="AJ37" s="207">
        <v>1</v>
      </c>
      <c r="AK37" s="208"/>
      <c r="AL37" s="208"/>
      <c r="AM37" s="209"/>
      <c r="AN37" s="209"/>
    </row>
    <row r="38" spans="1:40" s="197" customFormat="1" hidden="1">
      <c r="N38" s="210"/>
      <c r="O38" s="210"/>
      <c r="S38" s="210"/>
      <c r="AJ38" s="207"/>
      <c r="AK38" s="208"/>
      <c r="AL38" s="208"/>
      <c r="AM38" s="209"/>
      <c r="AN38" s="209"/>
    </row>
    <row r="39" spans="1:40" s="197" customFormat="1" hidden="1">
      <c r="N39" s="210"/>
      <c r="O39" s="210"/>
      <c r="S39" s="210"/>
      <c r="AJ39" s="207"/>
      <c r="AK39" s="208"/>
      <c r="AL39" s="208"/>
      <c r="AM39" s="209"/>
      <c r="AN39" s="209"/>
    </row>
    <row r="40" spans="1:40" s="197" customFormat="1" ht="15" hidden="1">
      <c r="A40" s="559" t="s">
        <v>237</v>
      </c>
      <c r="B40" s="559"/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  <c r="AB40" s="559"/>
      <c r="AC40" s="559"/>
      <c r="AD40" s="559"/>
      <c r="AE40" s="559"/>
      <c r="AF40" s="559"/>
      <c r="AG40" s="559"/>
      <c r="AH40" s="559"/>
      <c r="AI40" s="559"/>
      <c r="AJ40" s="207"/>
      <c r="AK40" s="208"/>
      <c r="AL40" s="208"/>
      <c r="AM40" s="209"/>
      <c r="AN40" s="209"/>
    </row>
    <row r="41" spans="1:40" s="197" customFormat="1" hidden="1">
      <c r="N41" s="210"/>
      <c r="O41" s="210"/>
      <c r="S41" s="210"/>
      <c r="AJ41" s="207"/>
      <c r="AK41" s="208"/>
      <c r="AL41" s="208"/>
      <c r="AM41" s="209"/>
      <c r="AN41" s="209"/>
    </row>
    <row r="42" spans="1:40" s="197" customFormat="1" hidden="1">
      <c r="A42" s="558" t="s">
        <v>233</v>
      </c>
      <c r="B42" s="558"/>
      <c r="C42" s="558"/>
      <c r="D42" s="558"/>
      <c r="E42" s="558"/>
      <c r="F42" s="558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8"/>
      <c r="S42" s="558"/>
      <c r="T42" s="558"/>
      <c r="U42" s="558"/>
      <c r="V42" s="558"/>
      <c r="W42" s="558"/>
      <c r="X42" s="558"/>
      <c r="Y42" s="558"/>
      <c r="Z42" s="558"/>
      <c r="AA42" s="558"/>
      <c r="AB42" s="558"/>
      <c r="AC42" s="558"/>
      <c r="AD42" s="558"/>
      <c r="AE42" s="558"/>
      <c r="AF42" s="558"/>
      <c r="AG42" s="558"/>
      <c r="AH42" s="558"/>
      <c r="AI42" s="558"/>
      <c r="AJ42" s="207"/>
      <c r="AK42" s="208"/>
      <c r="AL42" s="208"/>
      <c r="AM42" s="209"/>
      <c r="AN42" s="209"/>
    </row>
    <row r="43" spans="1:40" s="197" customFormat="1" hidden="1">
      <c r="N43" s="210"/>
      <c r="O43" s="210"/>
      <c r="S43" s="210"/>
      <c r="AJ43" s="207" t="s">
        <v>234</v>
      </c>
      <c r="AK43" s="208"/>
      <c r="AL43" s="208"/>
      <c r="AM43" s="209"/>
      <c r="AN43" s="209"/>
    </row>
    <row r="44" spans="1:40" s="197" customFormat="1" hidden="1">
      <c r="A44" s="197" t="s">
        <v>235</v>
      </c>
      <c r="B44" s="560">
        <f>AJ44</f>
        <v>1</v>
      </c>
      <c r="C44" s="560"/>
      <c r="D44" s="558" t="s">
        <v>102</v>
      </c>
      <c r="E44" s="558"/>
      <c r="N44" s="210"/>
      <c r="O44" s="210"/>
      <c r="S44" s="210"/>
      <c r="AJ44" s="207">
        <v>1</v>
      </c>
      <c r="AK44" s="208"/>
      <c r="AL44" s="208"/>
      <c r="AM44" s="209"/>
      <c r="AN44" s="209"/>
    </row>
    <row r="45" spans="1:40" s="197" customFormat="1" hidden="1">
      <c r="N45" s="210"/>
      <c r="O45" s="210"/>
      <c r="S45" s="210"/>
      <c r="AJ45" s="211"/>
      <c r="AK45" s="208"/>
      <c r="AL45" s="208"/>
      <c r="AM45" s="209"/>
      <c r="AN45" s="209"/>
    </row>
    <row r="46" spans="1:40" s="197" customFormat="1" hidden="1">
      <c r="N46" s="210"/>
      <c r="O46" s="210"/>
      <c r="S46" s="210"/>
      <c r="AJ46" s="211"/>
      <c r="AK46" s="208"/>
      <c r="AL46" s="208"/>
      <c r="AM46" s="209"/>
      <c r="AN46" s="209"/>
    </row>
    <row r="47" spans="1:40" s="197" customFormat="1" ht="15" hidden="1">
      <c r="A47" s="559" t="s">
        <v>238</v>
      </c>
      <c r="B47" s="559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211"/>
      <c r="AK47" s="208"/>
      <c r="AL47" s="208"/>
      <c r="AM47" s="209"/>
      <c r="AN47" s="209"/>
    </row>
    <row r="48" spans="1:40" s="197" customFormat="1" hidden="1">
      <c r="N48" s="210"/>
      <c r="O48" s="210"/>
      <c r="S48" s="210"/>
      <c r="AJ48" s="211"/>
      <c r="AK48" s="208"/>
      <c r="AL48" s="208"/>
      <c r="AM48" s="209"/>
      <c r="AN48" s="209"/>
    </row>
    <row r="49" spans="1:40" s="197" customFormat="1" hidden="1">
      <c r="A49" s="558" t="s">
        <v>233</v>
      </c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8"/>
      <c r="AE49" s="558"/>
      <c r="AF49" s="558"/>
      <c r="AG49" s="558"/>
      <c r="AH49" s="558"/>
      <c r="AI49" s="558"/>
      <c r="AJ49" s="211"/>
      <c r="AK49" s="208"/>
      <c r="AL49" s="208"/>
      <c r="AM49" s="209"/>
      <c r="AN49" s="209"/>
    </row>
    <row r="50" spans="1:40" s="197" customFormat="1" hidden="1">
      <c r="N50" s="210"/>
      <c r="O50" s="210"/>
      <c r="S50" s="210"/>
      <c r="AJ50" s="207" t="s">
        <v>234</v>
      </c>
      <c r="AK50" s="208"/>
      <c r="AL50" s="208"/>
      <c r="AM50" s="209"/>
      <c r="AN50" s="209"/>
    </row>
    <row r="51" spans="1:40" s="197" customFormat="1" hidden="1">
      <c r="A51" s="197" t="s">
        <v>235</v>
      </c>
      <c r="B51" s="560">
        <f>AJ51</f>
        <v>1</v>
      </c>
      <c r="C51" s="560"/>
      <c r="D51" s="558" t="s">
        <v>102</v>
      </c>
      <c r="E51" s="558"/>
      <c r="N51" s="210"/>
      <c r="O51" s="210"/>
      <c r="S51" s="210"/>
      <c r="AJ51" s="207">
        <v>1</v>
      </c>
      <c r="AK51" s="208"/>
      <c r="AL51" s="208"/>
      <c r="AM51" s="209"/>
      <c r="AN51" s="209"/>
    </row>
    <row r="52" spans="1:40" s="197" customFormat="1" hidden="1">
      <c r="N52" s="210"/>
      <c r="O52" s="210"/>
      <c r="S52" s="210"/>
      <c r="AJ52" s="207"/>
      <c r="AK52" s="208"/>
      <c r="AL52" s="208"/>
      <c r="AM52" s="209"/>
      <c r="AN52" s="209"/>
    </row>
    <row r="53" spans="1:40" s="197" customFormat="1" hidden="1">
      <c r="N53" s="210"/>
      <c r="O53" s="210"/>
      <c r="S53" s="210"/>
      <c r="AJ53" s="207"/>
      <c r="AK53" s="208"/>
      <c r="AL53" s="208"/>
      <c r="AM53" s="209"/>
      <c r="AN53" s="209"/>
    </row>
    <row r="54" spans="1:40" s="197" customFormat="1" ht="15" hidden="1">
      <c r="A54" s="559" t="s">
        <v>239</v>
      </c>
      <c r="B54" s="559"/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P54" s="559"/>
      <c r="Q54" s="559"/>
      <c r="R54" s="559"/>
      <c r="S54" s="559"/>
      <c r="T54" s="559"/>
      <c r="U54" s="559"/>
      <c r="V54" s="559"/>
      <c r="W54" s="559"/>
      <c r="X54" s="559"/>
      <c r="Y54" s="559"/>
      <c r="Z54" s="559"/>
      <c r="AA54" s="559"/>
      <c r="AB54" s="559"/>
      <c r="AC54" s="559"/>
      <c r="AD54" s="559"/>
      <c r="AE54" s="559"/>
      <c r="AF54" s="559"/>
      <c r="AG54" s="559"/>
      <c r="AH54" s="559"/>
      <c r="AI54" s="559"/>
      <c r="AJ54" s="207"/>
      <c r="AK54" s="208"/>
      <c r="AL54" s="208"/>
      <c r="AM54" s="209"/>
      <c r="AN54" s="209"/>
    </row>
    <row r="55" spans="1:40" s="197" customFormat="1" hidden="1">
      <c r="N55" s="210"/>
      <c r="O55" s="210"/>
      <c r="S55" s="210"/>
      <c r="AJ55" s="207"/>
      <c r="AK55" s="208"/>
      <c r="AL55" s="208"/>
      <c r="AM55" s="209"/>
      <c r="AN55" s="209"/>
    </row>
    <row r="56" spans="1:40" s="197" customFormat="1" hidden="1">
      <c r="A56" s="558" t="s">
        <v>233</v>
      </c>
      <c r="B56" s="558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207"/>
      <c r="AK56" s="208"/>
      <c r="AL56" s="208"/>
      <c r="AM56" s="209"/>
      <c r="AN56" s="209"/>
    </row>
    <row r="57" spans="1:40" s="197" customFormat="1" hidden="1">
      <c r="N57" s="210"/>
      <c r="O57" s="210"/>
      <c r="S57" s="210"/>
      <c r="AJ57" s="207" t="s">
        <v>234</v>
      </c>
      <c r="AK57" s="208"/>
      <c r="AL57" s="208"/>
      <c r="AM57" s="209"/>
      <c r="AN57" s="209"/>
    </row>
    <row r="58" spans="1:40" s="197" customFormat="1" hidden="1">
      <c r="A58" s="197" t="s">
        <v>235</v>
      </c>
      <c r="B58" s="560">
        <f>AJ58</f>
        <v>1</v>
      </c>
      <c r="C58" s="560"/>
      <c r="D58" s="558" t="s">
        <v>102</v>
      </c>
      <c r="E58" s="558"/>
      <c r="N58" s="210"/>
      <c r="O58" s="210"/>
      <c r="S58" s="210"/>
      <c r="AJ58" s="207">
        <v>1</v>
      </c>
      <c r="AK58" s="208"/>
      <c r="AL58" s="208"/>
      <c r="AM58" s="209"/>
      <c r="AN58" s="209"/>
    </row>
    <row r="59" spans="1:40" s="197" customFormat="1" hidden="1">
      <c r="N59" s="210"/>
      <c r="O59" s="210"/>
      <c r="S59" s="210"/>
      <c r="AJ59" s="207"/>
      <c r="AK59" s="208"/>
      <c r="AL59" s="208"/>
      <c r="AM59" s="209"/>
      <c r="AN59" s="209"/>
    </row>
    <row r="60" spans="1:40" s="197" customFormat="1" hidden="1">
      <c r="N60" s="210"/>
      <c r="O60" s="210"/>
      <c r="S60" s="210"/>
      <c r="AJ60" s="207"/>
      <c r="AK60" s="208"/>
      <c r="AL60" s="208"/>
      <c r="AM60" s="209"/>
      <c r="AN60" s="209"/>
    </row>
    <row r="61" spans="1:40" ht="15">
      <c r="A61" s="539" t="s">
        <v>180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1"/>
      <c r="AJ61" s="201"/>
      <c r="AK61" s="202"/>
      <c r="AL61" s="202"/>
      <c r="AM61" s="203"/>
      <c r="AN61" s="203"/>
    </row>
    <row r="62" spans="1:40">
      <c r="AJ62" s="201"/>
      <c r="AK62" s="202"/>
      <c r="AL62" s="202"/>
      <c r="AM62" s="203"/>
      <c r="AN62" s="203"/>
    </row>
    <row r="63" spans="1:40" ht="15">
      <c r="A63" s="542" t="s">
        <v>409</v>
      </c>
      <c r="B63" s="542"/>
      <c r="C63" s="542"/>
      <c r="D63" s="542"/>
      <c r="E63" s="542"/>
      <c r="F63" s="542"/>
      <c r="G63" s="542"/>
      <c r="H63" s="542"/>
      <c r="I63" s="542"/>
      <c r="J63" s="542"/>
      <c r="K63" s="542"/>
      <c r="L63" s="542"/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  <c r="X63" s="542"/>
      <c r="Y63" s="542"/>
      <c r="Z63" s="542"/>
      <c r="AA63" s="542"/>
      <c r="AB63" s="542"/>
      <c r="AC63" s="542"/>
      <c r="AD63" s="542"/>
      <c r="AE63" s="542"/>
      <c r="AF63" s="542"/>
      <c r="AG63" s="542"/>
      <c r="AH63" s="542"/>
      <c r="AI63" s="542"/>
      <c r="AJ63" s="201"/>
      <c r="AK63" s="202"/>
      <c r="AL63" s="202"/>
      <c r="AM63" s="203"/>
      <c r="AN63" s="203"/>
    </row>
    <row r="64" spans="1:40">
      <c r="AJ64" s="201"/>
      <c r="AK64" s="202"/>
      <c r="AL64" s="202"/>
      <c r="AM64" s="203"/>
      <c r="AN64" s="203"/>
    </row>
    <row r="65" spans="1:40">
      <c r="A65" s="530" t="s">
        <v>248</v>
      </c>
      <c r="B65" s="530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0"/>
      <c r="S65" s="530"/>
      <c r="T65" s="530"/>
      <c r="U65" s="530"/>
      <c r="V65" s="530"/>
      <c r="W65" s="530"/>
      <c r="X65" s="530"/>
      <c r="Y65" s="530"/>
      <c r="Z65" s="530"/>
      <c r="AA65" s="530"/>
      <c r="AB65" s="530"/>
      <c r="AC65" s="530"/>
      <c r="AD65" s="530"/>
      <c r="AE65" s="530"/>
      <c r="AF65" s="530"/>
      <c r="AG65" s="530"/>
      <c r="AH65" s="530"/>
      <c r="AI65" s="530"/>
      <c r="AJ65" s="201"/>
      <c r="AK65" s="202"/>
      <c r="AL65" s="202"/>
      <c r="AM65" s="203"/>
      <c r="AN65" s="203"/>
    </row>
    <row r="66" spans="1:40">
      <c r="A66" s="526"/>
      <c r="B66" s="526"/>
      <c r="C66" s="526"/>
      <c r="D66" s="526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526"/>
      <c r="P66" s="526"/>
      <c r="Q66" s="526"/>
      <c r="R66" s="526"/>
      <c r="S66" s="526"/>
      <c r="T66" s="526"/>
      <c r="U66" s="526"/>
      <c r="V66" s="526"/>
      <c r="W66" s="526"/>
      <c r="X66" s="526"/>
      <c r="Y66" s="526"/>
      <c r="Z66" s="526"/>
      <c r="AA66" s="526"/>
      <c r="AB66" s="526"/>
      <c r="AC66" s="526"/>
      <c r="AD66" s="526"/>
      <c r="AE66" s="526"/>
      <c r="AF66" s="526"/>
      <c r="AG66" s="526"/>
      <c r="AH66" s="526"/>
      <c r="AI66" s="526"/>
      <c r="AJ66" s="212"/>
      <c r="AK66" s="212"/>
      <c r="AL66" s="212"/>
      <c r="AM66" s="213"/>
      <c r="AN66" s="203"/>
    </row>
    <row r="67" spans="1:40">
      <c r="A67" s="200" t="s">
        <v>174</v>
      </c>
      <c r="B67" s="543">
        <f>AJ75</f>
        <v>175.53</v>
      </c>
      <c r="C67" s="530"/>
      <c r="D67" s="200" t="s">
        <v>148</v>
      </c>
      <c r="E67" s="214" t="s">
        <v>175</v>
      </c>
      <c r="F67" s="205"/>
      <c r="G67" s="543">
        <f>AK75</f>
        <v>6.2</v>
      </c>
      <c r="H67" s="543"/>
      <c r="I67" s="200" t="s">
        <v>148</v>
      </c>
      <c r="J67" s="214"/>
      <c r="K67" s="199"/>
      <c r="L67" s="199"/>
      <c r="N67" s="198"/>
      <c r="P67" s="199"/>
      <c r="AJ67" s="201"/>
      <c r="AK67" s="201"/>
      <c r="AL67" s="201"/>
      <c r="AM67" s="201"/>
      <c r="AN67" s="203"/>
    </row>
    <row r="68" spans="1:40">
      <c r="A68" s="200" t="s">
        <v>443</v>
      </c>
      <c r="B68" s="204"/>
      <c r="C68" s="204"/>
      <c r="D68" s="204"/>
      <c r="E68" s="525">
        <v>65.91</v>
      </c>
      <c r="F68" s="525"/>
      <c r="G68" s="200" t="s">
        <v>85</v>
      </c>
      <c r="AJ68" s="201"/>
      <c r="AK68" s="202"/>
      <c r="AL68" s="202"/>
      <c r="AM68" s="203"/>
      <c r="AN68" s="203"/>
    </row>
    <row r="69" spans="1:40">
      <c r="A69" s="200" t="s">
        <v>174</v>
      </c>
      <c r="B69" s="532">
        <f>B67*G67+E68</f>
        <v>1154.2</v>
      </c>
      <c r="C69" s="532"/>
      <c r="D69" s="532"/>
      <c r="E69" s="206" t="s">
        <v>85</v>
      </c>
      <c r="AJ69" s="201"/>
      <c r="AK69" s="202"/>
      <c r="AL69" s="202"/>
      <c r="AM69" s="203"/>
      <c r="AN69" s="203"/>
    </row>
    <row r="70" spans="1:40">
      <c r="F70" s="216"/>
      <c r="G70" s="216"/>
      <c r="N70" s="200"/>
      <c r="O70" s="200"/>
      <c r="S70" s="200"/>
      <c r="AJ70" s="201"/>
      <c r="AK70" s="202"/>
      <c r="AL70" s="202"/>
      <c r="AM70" s="203"/>
      <c r="AN70" s="203"/>
    </row>
    <row r="71" spans="1:40" ht="13.5" customHeight="1">
      <c r="A71" s="544" t="s">
        <v>372</v>
      </c>
      <c r="B71" s="544"/>
      <c r="C71" s="544"/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  <c r="Q71" s="544"/>
      <c r="R71" s="544"/>
      <c r="S71" s="544"/>
      <c r="T71" s="544"/>
      <c r="U71" s="544"/>
      <c r="V71" s="544"/>
      <c r="W71" s="544"/>
      <c r="X71" s="544"/>
      <c r="Y71" s="544"/>
      <c r="Z71" s="544"/>
      <c r="AA71" s="544"/>
      <c r="AB71" s="544"/>
      <c r="AC71" s="544"/>
      <c r="AD71" s="544"/>
      <c r="AE71" s="544"/>
      <c r="AF71" s="544"/>
      <c r="AG71" s="544"/>
      <c r="AH71" s="544"/>
      <c r="AI71" s="544"/>
      <c r="AJ71" s="201"/>
      <c r="AK71" s="202"/>
      <c r="AL71" s="202"/>
      <c r="AM71" s="203"/>
      <c r="AN71" s="203"/>
    </row>
    <row r="72" spans="1:40">
      <c r="AJ72" s="201"/>
      <c r="AK72" s="202"/>
      <c r="AL72" s="202"/>
      <c r="AM72" s="203"/>
      <c r="AN72" s="203"/>
    </row>
    <row r="73" spans="1:40">
      <c r="A73" s="530" t="s">
        <v>248</v>
      </c>
      <c r="B73" s="530"/>
      <c r="C73" s="530"/>
      <c r="D73" s="530"/>
      <c r="E73" s="530"/>
      <c r="F73" s="530"/>
      <c r="G73" s="530"/>
      <c r="H73" s="530"/>
      <c r="I73" s="530"/>
      <c r="J73" s="530"/>
      <c r="K73" s="530"/>
      <c r="L73" s="530"/>
      <c r="M73" s="530"/>
      <c r="N73" s="530"/>
      <c r="O73" s="530"/>
      <c r="P73" s="530"/>
      <c r="Q73" s="530"/>
      <c r="R73" s="530"/>
      <c r="S73" s="530"/>
      <c r="T73" s="530"/>
      <c r="U73" s="530"/>
      <c r="V73" s="530"/>
      <c r="W73" s="530"/>
      <c r="X73" s="530"/>
      <c r="Y73" s="530"/>
      <c r="Z73" s="530"/>
      <c r="AA73" s="530"/>
      <c r="AB73" s="530"/>
      <c r="AC73" s="530"/>
      <c r="AD73" s="530"/>
      <c r="AE73" s="530"/>
      <c r="AF73" s="530"/>
      <c r="AG73" s="530"/>
      <c r="AH73" s="530"/>
      <c r="AI73" s="530"/>
      <c r="AJ73" s="201"/>
      <c r="AK73" s="202"/>
      <c r="AL73" s="202"/>
      <c r="AM73" s="203"/>
      <c r="AN73" s="203"/>
    </row>
    <row r="74" spans="1:40">
      <c r="AJ74" s="212" t="s">
        <v>181</v>
      </c>
      <c r="AK74" s="212" t="s">
        <v>182</v>
      </c>
      <c r="AL74" s="212" t="s">
        <v>183</v>
      </c>
      <c r="AM74" s="213" t="s">
        <v>184</v>
      </c>
      <c r="AN74" s="203"/>
    </row>
    <row r="75" spans="1:40">
      <c r="A75" s="200" t="s">
        <v>174</v>
      </c>
      <c r="B75" s="543">
        <f>AJ75</f>
        <v>175.53</v>
      </c>
      <c r="C75" s="543"/>
      <c r="D75" s="200" t="s">
        <v>148</v>
      </c>
      <c r="E75" s="214" t="s">
        <v>175</v>
      </c>
      <c r="F75" s="205"/>
      <c r="G75" s="543">
        <f>AK75</f>
        <v>6.2</v>
      </c>
      <c r="H75" s="543"/>
      <c r="I75" s="200" t="s">
        <v>148</v>
      </c>
      <c r="J75" s="214"/>
      <c r="K75" s="199"/>
      <c r="L75" s="199"/>
      <c r="N75" s="198"/>
      <c r="P75" s="199"/>
      <c r="AJ75" s="201">
        <v>175.53</v>
      </c>
      <c r="AK75" s="201">
        <v>6.2</v>
      </c>
      <c r="AL75" s="201">
        <v>1.05</v>
      </c>
      <c r="AM75" s="201">
        <v>1.05</v>
      </c>
      <c r="AN75" s="203"/>
    </row>
    <row r="76" spans="1:40">
      <c r="A76" s="200" t="s">
        <v>443</v>
      </c>
      <c r="B76" s="204"/>
      <c r="C76" s="204"/>
      <c r="D76" s="204"/>
      <c r="E76" s="525">
        <v>65.91</v>
      </c>
      <c r="F76" s="525"/>
      <c r="G76" s="200" t="s">
        <v>85</v>
      </c>
      <c r="AJ76" s="201"/>
      <c r="AK76" s="202"/>
      <c r="AL76" s="202"/>
      <c r="AM76" s="203"/>
      <c r="AN76" s="203"/>
    </row>
    <row r="77" spans="1:40">
      <c r="A77" s="200" t="s">
        <v>174</v>
      </c>
      <c r="B77" s="543">
        <f>(B75*G75)+E76</f>
        <v>1154.2</v>
      </c>
      <c r="C77" s="543"/>
      <c r="D77" s="543"/>
      <c r="E77" s="200" t="s">
        <v>85</v>
      </c>
      <c r="AJ77" s="201"/>
      <c r="AK77" s="202"/>
      <c r="AL77" s="202"/>
      <c r="AM77" s="203"/>
      <c r="AN77" s="203"/>
    </row>
    <row r="78" spans="1:40">
      <c r="AJ78" s="201"/>
      <c r="AK78" s="202">
        <f>AJ75*AK75</f>
        <v>1088.29</v>
      </c>
      <c r="AL78" s="202"/>
      <c r="AM78" s="203"/>
      <c r="AN78" s="203"/>
    </row>
    <row r="79" spans="1:40" ht="14.25" customHeight="1">
      <c r="A79" s="544" t="s">
        <v>383</v>
      </c>
      <c r="B79" s="544"/>
      <c r="C79" s="544"/>
      <c r="D79" s="544"/>
      <c r="E79" s="544"/>
      <c r="F79" s="544"/>
      <c r="G79" s="544"/>
      <c r="H79" s="544"/>
      <c r="I79" s="544"/>
      <c r="J79" s="544"/>
      <c r="K79" s="544"/>
      <c r="L79" s="544"/>
      <c r="M79" s="544"/>
      <c r="N79" s="544"/>
      <c r="O79" s="544"/>
      <c r="P79" s="544"/>
      <c r="Q79" s="544"/>
      <c r="R79" s="544"/>
      <c r="S79" s="544"/>
      <c r="T79" s="544"/>
      <c r="U79" s="544"/>
      <c r="V79" s="544"/>
      <c r="W79" s="544"/>
      <c r="X79" s="544"/>
      <c r="Y79" s="544"/>
      <c r="Z79" s="544"/>
      <c r="AA79" s="544"/>
      <c r="AB79" s="544"/>
      <c r="AC79" s="544"/>
      <c r="AD79" s="544"/>
      <c r="AE79" s="544"/>
      <c r="AF79" s="544"/>
      <c r="AG79" s="544"/>
      <c r="AH79" s="544"/>
      <c r="AI79" s="544"/>
      <c r="AJ79" s="201"/>
      <c r="AK79" s="202"/>
      <c r="AL79" s="202"/>
      <c r="AM79" s="203"/>
      <c r="AN79" s="203"/>
    </row>
    <row r="80" spans="1:40">
      <c r="AJ80" s="201"/>
      <c r="AK80" s="202"/>
      <c r="AL80" s="202"/>
      <c r="AM80" s="203"/>
      <c r="AN80" s="203"/>
    </row>
    <row r="81" spans="1:40">
      <c r="A81" s="526" t="s">
        <v>188</v>
      </c>
      <c r="B81" s="526"/>
      <c r="C81" s="526"/>
      <c r="D81" s="526"/>
      <c r="F81" s="531">
        <v>175.31</v>
      </c>
      <c r="G81" s="531"/>
      <c r="H81" s="200" t="s">
        <v>148</v>
      </c>
      <c r="AJ81" s="201"/>
      <c r="AK81" s="202"/>
      <c r="AL81" s="202"/>
      <c r="AM81" s="203"/>
      <c r="AN81" s="203"/>
    </row>
    <row r="82" spans="1:40">
      <c r="A82" s="526" t="s">
        <v>189</v>
      </c>
      <c r="B82" s="526"/>
      <c r="C82" s="526"/>
      <c r="D82" s="526"/>
      <c r="F82" s="531">
        <v>36.01</v>
      </c>
      <c r="G82" s="531"/>
      <c r="H82" s="200" t="s">
        <v>148</v>
      </c>
      <c r="N82" s="200"/>
      <c r="O82" s="200"/>
      <c r="P82" s="199"/>
      <c r="Q82" s="199"/>
      <c r="S82" s="200"/>
      <c r="U82" s="199"/>
      <c r="AJ82" s="201"/>
      <c r="AK82" s="202"/>
      <c r="AL82" s="202"/>
      <c r="AM82" s="203"/>
      <c r="AN82" s="203"/>
    </row>
    <row r="83" spans="1:40">
      <c r="A83" s="526" t="s">
        <v>190</v>
      </c>
      <c r="B83" s="526"/>
      <c r="C83" s="526"/>
      <c r="D83" s="526"/>
      <c r="F83" s="531">
        <v>50.07</v>
      </c>
      <c r="G83" s="531"/>
      <c r="H83" s="200" t="s">
        <v>148</v>
      </c>
      <c r="N83" s="200"/>
      <c r="O83" s="200"/>
      <c r="P83" s="199"/>
      <c r="Q83" s="199"/>
      <c r="S83" s="200"/>
      <c r="U83" s="199"/>
      <c r="AJ83" s="201"/>
      <c r="AK83" s="202"/>
      <c r="AL83" s="202"/>
      <c r="AM83" s="203"/>
      <c r="AN83" s="203"/>
    </row>
    <row r="84" spans="1:40">
      <c r="A84" s="526" t="s">
        <v>379</v>
      </c>
      <c r="B84" s="526"/>
      <c r="C84" s="526"/>
      <c r="D84" s="526"/>
      <c r="F84" s="531">
        <v>45.68</v>
      </c>
      <c r="G84" s="531"/>
      <c r="H84" s="200" t="s">
        <v>148</v>
      </c>
      <c r="N84" s="200"/>
      <c r="O84" s="200"/>
      <c r="P84" s="199"/>
      <c r="Q84" s="199"/>
      <c r="S84" s="200"/>
      <c r="U84" s="199"/>
      <c r="AJ84" s="201"/>
      <c r="AK84" s="202"/>
      <c r="AL84" s="202"/>
      <c r="AM84" s="203"/>
      <c r="AN84" s="203"/>
    </row>
    <row r="85" spans="1:40">
      <c r="A85" s="526" t="s">
        <v>384</v>
      </c>
      <c r="B85" s="526"/>
      <c r="C85" s="526"/>
      <c r="D85" s="526"/>
      <c r="F85" s="531">
        <v>34.909999999999997</v>
      </c>
      <c r="G85" s="531"/>
      <c r="H85" s="200" t="s">
        <v>148</v>
      </c>
      <c r="N85" s="200"/>
      <c r="O85" s="200"/>
      <c r="P85" s="199"/>
      <c r="Q85" s="199"/>
      <c r="S85" s="200"/>
      <c r="U85" s="199"/>
      <c r="AJ85" s="201"/>
      <c r="AK85" s="202"/>
      <c r="AL85" s="202"/>
      <c r="AM85" s="203"/>
      <c r="AN85" s="203"/>
    </row>
    <row r="86" spans="1:40">
      <c r="A86" s="215"/>
      <c r="B86" s="215"/>
      <c r="C86" s="215"/>
      <c r="D86" s="215"/>
      <c r="F86" s="216"/>
      <c r="G86" s="216"/>
      <c r="N86" s="200"/>
      <c r="O86" s="200"/>
      <c r="P86" s="199"/>
      <c r="Q86" s="199"/>
      <c r="S86" s="200"/>
      <c r="U86" s="199"/>
      <c r="AJ86" s="201"/>
      <c r="AK86" s="202"/>
      <c r="AL86" s="202"/>
      <c r="AM86" s="203"/>
      <c r="AN86" s="203"/>
    </row>
    <row r="87" spans="1:40">
      <c r="A87" s="215" t="s">
        <v>191</v>
      </c>
      <c r="B87" s="215"/>
      <c r="C87" s="215"/>
      <c r="D87" s="215"/>
      <c r="F87" s="531">
        <f>SUM(F81:G86)</f>
        <v>341.98</v>
      </c>
      <c r="G87" s="531"/>
      <c r="H87" s="200" t="s">
        <v>148</v>
      </c>
      <c r="N87" s="200"/>
      <c r="O87" s="200"/>
      <c r="P87" s="199"/>
      <c r="Q87" s="199"/>
      <c r="S87" s="200"/>
      <c r="U87" s="199"/>
      <c r="AJ87" s="201"/>
      <c r="AK87" s="202"/>
      <c r="AL87" s="202"/>
      <c r="AM87" s="203"/>
      <c r="AN87" s="203"/>
    </row>
    <row r="88" spans="1:40">
      <c r="AJ88" s="201"/>
      <c r="AK88" s="202"/>
      <c r="AL88" s="202"/>
      <c r="AM88" s="203"/>
      <c r="AN88" s="203"/>
    </row>
    <row r="89" spans="1:40" ht="15">
      <c r="A89" s="542" t="s">
        <v>422</v>
      </c>
      <c r="B89" s="542"/>
      <c r="C89" s="542"/>
      <c r="D89" s="542"/>
      <c r="E89" s="542"/>
      <c r="F89" s="542"/>
      <c r="G89" s="542"/>
      <c r="H89" s="542"/>
      <c r="I89" s="542"/>
      <c r="J89" s="542"/>
      <c r="K89" s="542"/>
      <c r="L89" s="542"/>
      <c r="M89" s="542"/>
      <c r="N89" s="542"/>
      <c r="O89" s="542"/>
      <c r="P89" s="542"/>
      <c r="Q89" s="542"/>
      <c r="R89" s="542"/>
      <c r="S89" s="542"/>
      <c r="T89" s="542"/>
      <c r="U89" s="542"/>
      <c r="V89" s="542"/>
      <c r="W89" s="542"/>
      <c r="X89" s="542"/>
      <c r="Y89" s="542"/>
      <c r="Z89" s="542"/>
      <c r="AA89" s="542"/>
      <c r="AB89" s="542"/>
      <c r="AC89" s="542"/>
      <c r="AD89" s="542"/>
      <c r="AE89" s="542"/>
      <c r="AF89" s="542"/>
      <c r="AG89" s="542"/>
      <c r="AH89" s="542"/>
      <c r="AI89" s="542"/>
      <c r="AJ89" s="201"/>
      <c r="AK89" s="202"/>
      <c r="AL89" s="202"/>
      <c r="AM89" s="203"/>
      <c r="AN89" s="203"/>
    </row>
    <row r="90" spans="1:40">
      <c r="AJ90" s="201"/>
      <c r="AK90" s="202"/>
      <c r="AL90" s="202"/>
      <c r="AM90" s="203"/>
      <c r="AN90" s="203"/>
    </row>
    <row r="91" spans="1:40">
      <c r="A91" s="530" t="s">
        <v>192</v>
      </c>
      <c r="B91" s="530"/>
      <c r="C91" s="530"/>
      <c r="D91" s="530"/>
      <c r="E91" s="530"/>
      <c r="F91" s="530"/>
      <c r="G91" s="530"/>
      <c r="H91" s="530"/>
      <c r="I91" s="530"/>
      <c r="J91" s="530"/>
      <c r="K91" s="530"/>
      <c r="L91" s="530"/>
      <c r="M91" s="530"/>
      <c r="N91" s="530"/>
      <c r="O91" s="530"/>
      <c r="P91" s="530"/>
      <c r="Q91" s="530"/>
      <c r="R91" s="530"/>
      <c r="S91" s="530"/>
      <c r="T91" s="530"/>
      <c r="U91" s="530"/>
      <c r="V91" s="530"/>
      <c r="W91" s="530"/>
      <c r="X91" s="530"/>
      <c r="Y91" s="530"/>
      <c r="Z91" s="530"/>
      <c r="AA91" s="530"/>
      <c r="AB91" s="530"/>
      <c r="AC91" s="530"/>
      <c r="AD91" s="530"/>
      <c r="AE91" s="530"/>
      <c r="AF91" s="530"/>
      <c r="AG91" s="530"/>
      <c r="AH91" s="530"/>
      <c r="AI91" s="530"/>
      <c r="AJ91" s="548" t="s">
        <v>193</v>
      </c>
      <c r="AK91" s="548"/>
      <c r="AL91" s="202"/>
      <c r="AM91" s="203"/>
      <c r="AN91" s="203"/>
    </row>
    <row r="92" spans="1:40">
      <c r="AJ92" s="202">
        <v>3</v>
      </c>
      <c r="AK92" s="203"/>
      <c r="AL92" s="202"/>
      <c r="AM92" s="203"/>
      <c r="AN92" s="203"/>
    </row>
    <row r="93" spans="1:40">
      <c r="A93" s="200" t="s">
        <v>174</v>
      </c>
      <c r="B93" s="543">
        <f>AK75</f>
        <v>6.2</v>
      </c>
      <c r="C93" s="543"/>
      <c r="D93" s="543"/>
      <c r="E93" s="200" t="s">
        <v>148</v>
      </c>
      <c r="F93" s="214" t="s">
        <v>175</v>
      </c>
      <c r="G93" s="543">
        <f>AJ92</f>
        <v>3</v>
      </c>
      <c r="H93" s="543"/>
      <c r="I93" s="200" t="s">
        <v>194</v>
      </c>
      <c r="J93" s="214"/>
      <c r="K93" s="205"/>
      <c r="L93" s="199"/>
      <c r="M93" s="199"/>
      <c r="P93" s="199"/>
      <c r="Q93" s="199"/>
      <c r="T93" s="199"/>
      <c r="AJ93" s="201"/>
      <c r="AK93" s="202"/>
      <c r="AL93" s="202"/>
      <c r="AM93" s="203"/>
      <c r="AN93" s="203"/>
    </row>
    <row r="94" spans="1:40">
      <c r="A94" s="200" t="s">
        <v>174</v>
      </c>
      <c r="B94" s="543">
        <f>B93*G93</f>
        <v>18.600000000000001</v>
      </c>
      <c r="C94" s="543"/>
      <c r="D94" s="543"/>
      <c r="E94" s="200" t="s">
        <v>148</v>
      </c>
      <c r="AJ94" s="201"/>
      <c r="AK94" s="202"/>
      <c r="AL94" s="202"/>
      <c r="AM94" s="203"/>
      <c r="AN94" s="203"/>
    </row>
    <row r="95" spans="1:40">
      <c r="AJ95" s="201"/>
      <c r="AK95" s="202"/>
      <c r="AL95" s="202"/>
      <c r="AM95" s="203"/>
      <c r="AN95" s="203"/>
    </row>
    <row r="96" spans="1:40" ht="31.5" customHeight="1">
      <c r="A96" s="544" t="s">
        <v>423</v>
      </c>
      <c r="B96" s="544"/>
      <c r="C96" s="544"/>
      <c r="D96" s="544"/>
      <c r="E96" s="544"/>
      <c r="F96" s="544"/>
      <c r="G96" s="544"/>
      <c r="H96" s="544"/>
      <c r="I96" s="544"/>
      <c r="J96" s="544"/>
      <c r="K96" s="544"/>
      <c r="L96" s="544"/>
      <c r="M96" s="544"/>
      <c r="N96" s="544"/>
      <c r="O96" s="544"/>
      <c r="P96" s="544"/>
      <c r="Q96" s="544"/>
      <c r="R96" s="544"/>
      <c r="S96" s="544"/>
      <c r="T96" s="544"/>
      <c r="U96" s="544"/>
      <c r="V96" s="544"/>
      <c r="W96" s="544"/>
      <c r="X96" s="544"/>
      <c r="Y96" s="544"/>
      <c r="Z96" s="544"/>
      <c r="AA96" s="544"/>
      <c r="AB96" s="544"/>
      <c r="AC96" s="544"/>
      <c r="AD96" s="544"/>
      <c r="AE96" s="544"/>
      <c r="AF96" s="544"/>
      <c r="AG96" s="544"/>
      <c r="AH96" s="544"/>
      <c r="AI96" s="544"/>
      <c r="AJ96" s="201"/>
      <c r="AK96" s="202"/>
      <c r="AL96" s="202"/>
      <c r="AM96" s="203"/>
      <c r="AN96" s="203"/>
    </row>
    <row r="97" spans="1:40" ht="15">
      <c r="A97" s="217"/>
      <c r="B97" s="217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7"/>
      <c r="AH97" s="217"/>
      <c r="AI97" s="217"/>
      <c r="AJ97" s="201"/>
      <c r="AK97" s="202"/>
      <c r="AL97" s="202"/>
      <c r="AM97" s="203"/>
      <c r="AN97" s="203"/>
    </row>
    <row r="98" spans="1:40">
      <c r="A98" s="526" t="s">
        <v>188</v>
      </c>
      <c r="B98" s="526"/>
      <c r="C98" s="526"/>
      <c r="D98" s="526"/>
      <c r="F98" s="531">
        <f>F81</f>
        <v>175.31</v>
      </c>
      <c r="G98" s="531"/>
      <c r="H98" s="526" t="s">
        <v>196</v>
      </c>
      <c r="I98" s="526"/>
      <c r="J98" s="531">
        <v>1</v>
      </c>
      <c r="K98" s="531"/>
      <c r="L98" s="526" t="s">
        <v>197</v>
      </c>
      <c r="M98" s="526"/>
      <c r="N98" s="532">
        <f>F98*J98</f>
        <v>175.31</v>
      </c>
      <c r="O98" s="532"/>
      <c r="P98" s="200" t="s">
        <v>148</v>
      </c>
      <c r="AJ98" s="201"/>
      <c r="AK98" s="202"/>
      <c r="AL98" s="202"/>
      <c r="AM98" s="203"/>
      <c r="AN98" s="203"/>
    </row>
    <row r="99" spans="1:40">
      <c r="A99" s="526" t="s">
        <v>189</v>
      </c>
      <c r="B99" s="526"/>
      <c r="C99" s="526"/>
      <c r="D99" s="526"/>
      <c r="F99" s="531">
        <f>F82</f>
        <v>36.01</v>
      </c>
      <c r="G99" s="531"/>
      <c r="H99" s="526" t="s">
        <v>196</v>
      </c>
      <c r="I99" s="526"/>
      <c r="J99" s="531">
        <v>1</v>
      </c>
      <c r="K99" s="531"/>
      <c r="L99" s="526" t="s">
        <v>197</v>
      </c>
      <c r="M99" s="526"/>
      <c r="N99" s="532">
        <f>F99*J99</f>
        <v>36.01</v>
      </c>
      <c r="O99" s="532"/>
      <c r="P99" s="200" t="s">
        <v>148</v>
      </c>
      <c r="AJ99" s="201"/>
      <c r="AK99" s="202"/>
      <c r="AL99" s="202"/>
      <c r="AM99" s="203"/>
      <c r="AN99" s="203"/>
    </row>
    <row r="100" spans="1:40">
      <c r="A100" s="526" t="s">
        <v>190</v>
      </c>
      <c r="B100" s="526"/>
      <c r="C100" s="526"/>
      <c r="D100" s="526"/>
      <c r="F100" s="531">
        <f>F83</f>
        <v>50.07</v>
      </c>
      <c r="G100" s="531"/>
      <c r="H100" s="526" t="s">
        <v>196</v>
      </c>
      <c r="I100" s="526"/>
      <c r="J100" s="531">
        <v>1</v>
      </c>
      <c r="K100" s="531"/>
      <c r="L100" s="526" t="s">
        <v>197</v>
      </c>
      <c r="M100" s="526"/>
      <c r="N100" s="532">
        <f>F100*J100</f>
        <v>50.07</v>
      </c>
      <c r="O100" s="532"/>
      <c r="P100" s="200" t="s">
        <v>148</v>
      </c>
      <c r="AJ100" s="201"/>
      <c r="AK100" s="202"/>
      <c r="AL100" s="202"/>
      <c r="AM100" s="203"/>
      <c r="AN100" s="203"/>
    </row>
    <row r="101" spans="1:40">
      <c r="A101" s="526" t="s">
        <v>379</v>
      </c>
      <c r="B101" s="526"/>
      <c r="C101" s="526"/>
      <c r="D101" s="526"/>
      <c r="F101" s="531">
        <f t="shared" ref="F101:F102" si="0">F84</f>
        <v>45.68</v>
      </c>
      <c r="G101" s="531"/>
      <c r="H101" s="526" t="s">
        <v>196</v>
      </c>
      <c r="I101" s="526"/>
      <c r="J101" s="531">
        <v>1</v>
      </c>
      <c r="K101" s="531"/>
      <c r="L101" s="526" t="s">
        <v>197</v>
      </c>
      <c r="M101" s="526"/>
      <c r="N101" s="532">
        <f t="shared" ref="N101:N102" si="1">F101*J101</f>
        <v>45.68</v>
      </c>
      <c r="O101" s="532"/>
      <c r="P101" s="200" t="s">
        <v>148</v>
      </c>
      <c r="AJ101" s="201"/>
      <c r="AK101" s="202"/>
      <c r="AL101" s="202"/>
      <c r="AM101" s="203"/>
      <c r="AN101" s="203"/>
    </row>
    <row r="102" spans="1:40">
      <c r="A102" s="526" t="s">
        <v>384</v>
      </c>
      <c r="B102" s="526"/>
      <c r="C102" s="526"/>
      <c r="D102" s="526"/>
      <c r="F102" s="531">
        <f t="shared" si="0"/>
        <v>34.909999999999997</v>
      </c>
      <c r="G102" s="531"/>
      <c r="H102" s="526" t="s">
        <v>196</v>
      </c>
      <c r="I102" s="526"/>
      <c r="J102" s="531">
        <v>1</v>
      </c>
      <c r="K102" s="531"/>
      <c r="L102" s="526" t="s">
        <v>197</v>
      </c>
      <c r="M102" s="526"/>
      <c r="N102" s="532">
        <f t="shared" si="1"/>
        <v>34.909999999999997</v>
      </c>
      <c r="O102" s="532"/>
      <c r="P102" s="200" t="s">
        <v>148</v>
      </c>
      <c r="AJ102" s="201"/>
      <c r="AK102" s="202"/>
      <c r="AL102" s="202"/>
      <c r="AM102" s="203"/>
      <c r="AN102" s="203"/>
    </row>
    <row r="103" spans="1:40">
      <c r="A103" s="200" t="s">
        <v>185</v>
      </c>
      <c r="C103" s="531">
        <f>SUM(N98:N102)</f>
        <v>341.98</v>
      </c>
      <c r="D103" s="533"/>
      <c r="E103" s="526" t="s">
        <v>196</v>
      </c>
      <c r="F103" s="526"/>
      <c r="G103" s="533">
        <f>1.2-0.15</f>
        <v>1.05</v>
      </c>
      <c r="H103" s="533"/>
      <c r="I103" s="526" t="s">
        <v>198</v>
      </c>
      <c r="J103" s="526"/>
      <c r="K103" s="525">
        <f>C103*G103</f>
        <v>359.08</v>
      </c>
      <c r="L103" s="525"/>
      <c r="M103" s="200" t="s">
        <v>85</v>
      </c>
      <c r="N103" s="204"/>
      <c r="O103" s="204"/>
      <c r="AJ103" s="201"/>
      <c r="AK103" s="202"/>
      <c r="AL103" s="202"/>
      <c r="AM103" s="203"/>
      <c r="AN103" s="203"/>
    </row>
    <row r="104" spans="1:40">
      <c r="F104" s="216"/>
      <c r="G104" s="216"/>
      <c r="H104" s="215"/>
      <c r="I104" s="215"/>
      <c r="J104" s="216"/>
      <c r="K104" s="216"/>
      <c r="L104" s="215"/>
      <c r="M104" s="215"/>
      <c r="N104" s="204"/>
      <c r="O104" s="204"/>
      <c r="AJ104" s="201"/>
      <c r="AK104" s="202"/>
      <c r="AL104" s="202"/>
      <c r="AM104" s="203"/>
      <c r="AN104" s="203"/>
    </row>
    <row r="105" spans="1:40">
      <c r="A105" s="200" t="s">
        <v>199</v>
      </c>
      <c r="E105" s="205"/>
      <c r="F105" s="205"/>
      <c r="H105" s="216"/>
      <c r="I105" s="216"/>
      <c r="J105" s="215"/>
      <c r="K105" s="215"/>
      <c r="L105" s="216"/>
      <c r="M105" s="216"/>
      <c r="AJ105" s="201"/>
      <c r="AK105" s="202"/>
      <c r="AL105" s="202"/>
      <c r="AM105" s="203"/>
      <c r="AN105" s="203"/>
    </row>
    <row r="106" spans="1:40">
      <c r="A106" s="526" t="s">
        <v>200</v>
      </c>
      <c r="B106" s="526"/>
      <c r="C106" s="526"/>
      <c r="D106" s="526"/>
      <c r="F106" s="531">
        <f>C135</f>
        <v>70.25</v>
      </c>
      <c r="G106" s="531"/>
      <c r="H106" s="526" t="s">
        <v>85</v>
      </c>
      <c r="I106" s="526"/>
      <c r="J106" s="531"/>
      <c r="K106" s="531"/>
      <c r="L106" s="526"/>
      <c r="M106" s="526"/>
      <c r="N106" s="532"/>
      <c r="O106" s="532"/>
      <c r="AJ106" s="201"/>
      <c r="AK106" s="202"/>
      <c r="AL106" s="202"/>
      <c r="AM106" s="203"/>
      <c r="AN106" s="203"/>
    </row>
    <row r="107" spans="1:40">
      <c r="A107" s="200" t="s">
        <v>201</v>
      </c>
      <c r="F107" s="531">
        <v>8.5</v>
      </c>
      <c r="G107" s="531"/>
      <c r="H107" s="526" t="s">
        <v>196</v>
      </c>
      <c r="I107" s="526"/>
      <c r="J107" s="531">
        <f>B114</f>
        <v>8</v>
      </c>
      <c r="K107" s="531"/>
      <c r="L107" s="526" t="s">
        <v>202</v>
      </c>
      <c r="M107" s="526"/>
      <c r="N107" s="532">
        <v>1.05</v>
      </c>
      <c r="O107" s="532"/>
      <c r="P107" s="200" t="s">
        <v>203</v>
      </c>
      <c r="Q107" s="528">
        <f>F107*J107*N107</f>
        <v>71.400000000000006</v>
      </c>
      <c r="R107" s="528"/>
      <c r="S107" s="199" t="s">
        <v>85</v>
      </c>
      <c r="AJ107" s="201"/>
      <c r="AK107" s="202"/>
      <c r="AL107" s="202"/>
      <c r="AM107" s="203"/>
      <c r="AN107" s="203"/>
    </row>
    <row r="108" spans="1:40">
      <c r="A108" s="200" t="s">
        <v>204</v>
      </c>
      <c r="F108" s="531">
        <f>K103</f>
        <v>359.08</v>
      </c>
      <c r="G108" s="533"/>
      <c r="H108" s="526" t="s">
        <v>205</v>
      </c>
      <c r="I108" s="526"/>
      <c r="J108" s="531">
        <f>SUM(F106,Q107)</f>
        <v>141.65</v>
      </c>
      <c r="K108" s="533"/>
      <c r="L108" s="526" t="s">
        <v>206</v>
      </c>
      <c r="M108" s="526"/>
      <c r="N108" s="525">
        <f>F108-J108</f>
        <v>217.43</v>
      </c>
      <c r="O108" s="525"/>
      <c r="P108" s="200" t="s">
        <v>85</v>
      </c>
      <c r="AJ108" s="201"/>
      <c r="AK108" s="202"/>
      <c r="AL108" s="202"/>
      <c r="AM108" s="203"/>
      <c r="AN108" s="203"/>
    </row>
    <row r="109" spans="1:40">
      <c r="AJ109" s="201"/>
      <c r="AK109" s="202"/>
      <c r="AL109" s="202"/>
      <c r="AM109" s="203"/>
      <c r="AN109" s="203"/>
    </row>
    <row r="110" spans="1:40" ht="31.5" customHeight="1">
      <c r="A110" s="544" t="s">
        <v>431</v>
      </c>
      <c r="B110" s="544"/>
      <c r="C110" s="544"/>
      <c r="D110" s="544"/>
      <c r="E110" s="544"/>
      <c r="F110" s="544"/>
      <c r="G110" s="544"/>
      <c r="H110" s="544"/>
      <c r="I110" s="544"/>
      <c r="J110" s="544"/>
      <c r="K110" s="544"/>
      <c r="L110" s="544"/>
      <c r="M110" s="544"/>
      <c r="N110" s="544"/>
      <c r="O110" s="544"/>
      <c r="P110" s="544"/>
      <c r="Q110" s="544"/>
      <c r="R110" s="544"/>
      <c r="S110" s="544"/>
      <c r="T110" s="544"/>
      <c r="U110" s="544"/>
      <c r="V110" s="544"/>
      <c r="W110" s="544"/>
      <c r="X110" s="544"/>
      <c r="Y110" s="544"/>
      <c r="Z110" s="544"/>
      <c r="AA110" s="544"/>
      <c r="AB110" s="544"/>
      <c r="AC110" s="544"/>
      <c r="AD110" s="544"/>
      <c r="AE110" s="544"/>
      <c r="AF110" s="544"/>
      <c r="AG110" s="544"/>
      <c r="AH110" s="544"/>
      <c r="AI110" s="544"/>
      <c r="AJ110" s="201"/>
      <c r="AK110" s="202"/>
      <c r="AL110" s="202"/>
      <c r="AM110" s="203"/>
      <c r="AN110" s="203"/>
    </row>
    <row r="111" spans="1:40">
      <c r="AJ111" s="201"/>
      <c r="AK111" s="202"/>
      <c r="AL111" s="202"/>
      <c r="AM111" s="203"/>
      <c r="AN111" s="203"/>
    </row>
    <row r="112" spans="1:40">
      <c r="A112" s="530" t="s">
        <v>207</v>
      </c>
      <c r="B112" s="530"/>
      <c r="C112" s="530"/>
      <c r="D112" s="530"/>
      <c r="E112" s="530"/>
      <c r="F112" s="530"/>
      <c r="G112" s="530"/>
      <c r="H112" s="530"/>
      <c r="I112" s="530"/>
      <c r="J112" s="530"/>
      <c r="K112" s="530"/>
      <c r="L112" s="530"/>
      <c r="M112" s="530"/>
      <c r="N112" s="530"/>
      <c r="O112" s="530"/>
      <c r="P112" s="530"/>
      <c r="Q112" s="530"/>
      <c r="R112" s="530"/>
      <c r="S112" s="530"/>
      <c r="T112" s="530"/>
      <c r="U112" s="530"/>
      <c r="V112" s="530"/>
      <c r="W112" s="530"/>
      <c r="X112" s="530"/>
      <c r="Y112" s="530"/>
      <c r="Z112" s="530"/>
      <c r="AA112" s="530"/>
      <c r="AB112" s="530"/>
      <c r="AC112" s="530"/>
      <c r="AD112" s="530"/>
      <c r="AE112" s="530"/>
      <c r="AF112" s="530"/>
      <c r="AG112" s="530"/>
      <c r="AH112" s="530"/>
      <c r="AI112" s="530"/>
      <c r="AJ112" s="201"/>
      <c r="AK112" s="202"/>
      <c r="AL112" s="202"/>
      <c r="AM112" s="203"/>
      <c r="AN112" s="203"/>
    </row>
    <row r="113" spans="1:40">
      <c r="AJ113" s="201" t="s">
        <v>234</v>
      </c>
      <c r="AK113" s="202"/>
      <c r="AL113" s="202"/>
      <c r="AM113" s="203"/>
      <c r="AN113" s="203"/>
    </row>
    <row r="114" spans="1:40">
      <c r="A114" s="200" t="s">
        <v>179</v>
      </c>
      <c r="B114" s="543">
        <f>AJ114</f>
        <v>8</v>
      </c>
      <c r="C114" s="543"/>
      <c r="D114" s="530" t="s">
        <v>102</v>
      </c>
      <c r="E114" s="530"/>
      <c r="AJ114" s="201">
        <v>8</v>
      </c>
      <c r="AK114" s="202"/>
      <c r="AL114" s="202"/>
      <c r="AM114" s="203"/>
      <c r="AN114" s="203"/>
    </row>
    <row r="115" spans="1:40">
      <c r="AJ115" s="201"/>
      <c r="AK115" s="202"/>
      <c r="AL115" s="202"/>
      <c r="AM115" s="203"/>
      <c r="AN115" s="203"/>
    </row>
    <row r="116" spans="1:40" ht="31.5" customHeight="1">
      <c r="A116" s="544" t="s">
        <v>425</v>
      </c>
      <c r="B116" s="544"/>
      <c r="C116" s="544"/>
      <c r="D116" s="544"/>
      <c r="E116" s="544"/>
      <c r="F116" s="544"/>
      <c r="G116" s="544"/>
      <c r="H116" s="544"/>
      <c r="I116" s="544"/>
      <c r="J116" s="544"/>
      <c r="K116" s="544"/>
      <c r="L116" s="544"/>
      <c r="M116" s="544"/>
      <c r="N116" s="544"/>
      <c r="O116" s="544"/>
      <c r="P116" s="544"/>
      <c r="Q116" s="544"/>
      <c r="R116" s="544"/>
      <c r="S116" s="544"/>
      <c r="T116" s="544"/>
      <c r="U116" s="544"/>
      <c r="V116" s="544"/>
      <c r="W116" s="544"/>
      <c r="X116" s="544"/>
      <c r="Y116" s="544"/>
      <c r="Z116" s="544"/>
      <c r="AA116" s="544"/>
      <c r="AB116" s="544"/>
      <c r="AC116" s="544"/>
      <c r="AD116" s="544"/>
      <c r="AE116" s="544"/>
      <c r="AF116" s="544"/>
      <c r="AG116" s="544"/>
      <c r="AH116" s="544"/>
      <c r="AI116" s="544"/>
      <c r="AJ116" s="201"/>
      <c r="AK116" s="202"/>
      <c r="AL116" s="202"/>
      <c r="AM116" s="203"/>
      <c r="AN116" s="218"/>
    </row>
    <row r="117" spans="1:40">
      <c r="AJ117" s="201"/>
      <c r="AK117" s="202"/>
      <c r="AL117" s="202"/>
      <c r="AM117" s="203"/>
      <c r="AN117" s="203"/>
    </row>
    <row r="118" spans="1:40">
      <c r="A118" s="200" t="s">
        <v>208</v>
      </c>
      <c r="AJ118" s="201"/>
      <c r="AK118" s="202"/>
      <c r="AL118" s="202"/>
      <c r="AM118" s="203"/>
      <c r="AN118" s="203"/>
    </row>
    <row r="119" spans="1:40">
      <c r="AJ119" s="201"/>
      <c r="AK119" s="202"/>
      <c r="AL119" s="202"/>
      <c r="AM119" s="203"/>
      <c r="AN119" s="203"/>
    </row>
    <row r="120" spans="1:40">
      <c r="A120" s="526" t="s">
        <v>188</v>
      </c>
      <c r="B120" s="526"/>
      <c r="C120" s="526"/>
      <c r="D120" s="526"/>
      <c r="F120" s="531">
        <f>F98</f>
        <v>175.31</v>
      </c>
      <c r="G120" s="531"/>
      <c r="H120" s="526" t="s">
        <v>196</v>
      </c>
      <c r="I120" s="526"/>
      <c r="J120" s="531">
        <v>1</v>
      </c>
      <c r="K120" s="531"/>
      <c r="L120" s="526" t="s">
        <v>197</v>
      </c>
      <c r="M120" s="526"/>
      <c r="N120" s="532">
        <f>F120*J120</f>
        <v>175.31</v>
      </c>
      <c r="O120" s="532"/>
      <c r="P120" s="200" t="s">
        <v>148</v>
      </c>
      <c r="AJ120" s="201"/>
      <c r="AK120" s="202"/>
      <c r="AL120" s="202"/>
      <c r="AM120" s="203"/>
      <c r="AN120" s="203"/>
    </row>
    <row r="121" spans="1:40">
      <c r="A121" s="526" t="s">
        <v>189</v>
      </c>
      <c r="B121" s="526"/>
      <c r="C121" s="526"/>
      <c r="D121" s="526"/>
      <c r="F121" s="531">
        <f>F99</f>
        <v>36.01</v>
      </c>
      <c r="G121" s="531"/>
      <c r="H121" s="526" t="s">
        <v>196</v>
      </c>
      <c r="I121" s="526"/>
      <c r="J121" s="531">
        <v>1</v>
      </c>
      <c r="K121" s="531"/>
      <c r="L121" s="526" t="s">
        <v>197</v>
      </c>
      <c r="M121" s="526"/>
      <c r="N121" s="532">
        <f>F121*J121</f>
        <v>36.01</v>
      </c>
      <c r="O121" s="532"/>
      <c r="P121" s="200" t="s">
        <v>148</v>
      </c>
      <c r="AJ121" s="201"/>
      <c r="AK121" s="202"/>
      <c r="AL121" s="202"/>
      <c r="AM121" s="203"/>
      <c r="AN121" s="203"/>
    </row>
    <row r="122" spans="1:40">
      <c r="A122" s="526" t="s">
        <v>190</v>
      </c>
      <c r="B122" s="526"/>
      <c r="C122" s="526"/>
      <c r="D122" s="526"/>
      <c r="F122" s="531">
        <f>F100</f>
        <v>50.07</v>
      </c>
      <c r="G122" s="531"/>
      <c r="H122" s="526" t="s">
        <v>196</v>
      </c>
      <c r="I122" s="526"/>
      <c r="J122" s="531">
        <v>1</v>
      </c>
      <c r="K122" s="531"/>
      <c r="L122" s="526" t="s">
        <v>197</v>
      </c>
      <c r="M122" s="526"/>
      <c r="N122" s="532">
        <f>F122*J122</f>
        <v>50.07</v>
      </c>
      <c r="O122" s="532"/>
      <c r="P122" s="200" t="s">
        <v>148</v>
      </c>
      <c r="AJ122" s="201"/>
      <c r="AK122" s="202"/>
      <c r="AL122" s="202"/>
      <c r="AM122" s="203"/>
      <c r="AN122" s="203"/>
    </row>
    <row r="123" spans="1:40">
      <c r="A123" s="526" t="s">
        <v>379</v>
      </c>
      <c r="B123" s="526"/>
      <c r="C123" s="526"/>
      <c r="D123" s="526"/>
      <c r="F123" s="531">
        <f t="shared" ref="F123:F124" si="2">F101</f>
        <v>45.68</v>
      </c>
      <c r="G123" s="531"/>
      <c r="H123" s="526" t="s">
        <v>196</v>
      </c>
      <c r="I123" s="526"/>
      <c r="J123" s="531">
        <v>1</v>
      </c>
      <c r="K123" s="531"/>
      <c r="L123" s="526" t="s">
        <v>197</v>
      </c>
      <c r="M123" s="526"/>
      <c r="N123" s="532">
        <f t="shared" ref="N123:N124" si="3">F123*J123</f>
        <v>45.68</v>
      </c>
      <c r="O123" s="532"/>
      <c r="P123" s="200" t="s">
        <v>148</v>
      </c>
      <c r="AJ123" s="201"/>
      <c r="AK123" s="202"/>
      <c r="AL123" s="202"/>
      <c r="AM123" s="203"/>
      <c r="AN123" s="203"/>
    </row>
    <row r="124" spans="1:40">
      <c r="A124" s="526" t="s">
        <v>384</v>
      </c>
      <c r="B124" s="526"/>
      <c r="C124" s="526"/>
      <c r="D124" s="526"/>
      <c r="F124" s="531">
        <f t="shared" si="2"/>
        <v>34.909999999999997</v>
      </c>
      <c r="G124" s="531"/>
      <c r="H124" s="526" t="s">
        <v>196</v>
      </c>
      <c r="I124" s="526"/>
      <c r="J124" s="531">
        <v>1</v>
      </c>
      <c r="K124" s="531"/>
      <c r="L124" s="526" t="s">
        <v>197</v>
      </c>
      <c r="M124" s="526"/>
      <c r="N124" s="532">
        <f t="shared" si="3"/>
        <v>34.909999999999997</v>
      </c>
      <c r="O124" s="532"/>
      <c r="P124" s="200" t="s">
        <v>148</v>
      </c>
      <c r="AJ124" s="201"/>
      <c r="AK124" s="202"/>
      <c r="AL124" s="202"/>
      <c r="AM124" s="203"/>
      <c r="AN124" s="203"/>
    </row>
    <row r="125" spans="1:40">
      <c r="A125" s="215"/>
      <c r="B125" s="215"/>
      <c r="C125" s="215"/>
      <c r="D125" s="215"/>
      <c r="F125" s="216"/>
      <c r="G125" s="216"/>
      <c r="H125" s="215"/>
      <c r="I125" s="215"/>
      <c r="J125" s="216"/>
      <c r="K125" s="216"/>
      <c r="L125" s="215"/>
      <c r="M125" s="215"/>
      <c r="N125" s="204"/>
      <c r="O125" s="204"/>
      <c r="AJ125" s="201"/>
      <c r="AK125" s="202"/>
      <c r="AL125" s="202"/>
      <c r="AM125" s="203"/>
      <c r="AN125" s="203"/>
    </row>
    <row r="126" spans="1:40">
      <c r="A126" s="200" t="s">
        <v>199</v>
      </c>
      <c r="E126" s="205"/>
      <c r="F126" s="205"/>
      <c r="H126" s="216"/>
      <c r="I126" s="216"/>
      <c r="J126" s="215"/>
      <c r="K126" s="215"/>
      <c r="L126" s="216"/>
      <c r="M126" s="216"/>
      <c r="AJ126" s="201"/>
      <c r="AK126" s="202"/>
      <c r="AL126" s="202"/>
      <c r="AM126" s="203"/>
      <c r="AN126" s="203"/>
    </row>
    <row r="127" spans="1:40">
      <c r="A127" s="526" t="s">
        <v>201</v>
      </c>
      <c r="B127" s="526"/>
      <c r="C127" s="526"/>
      <c r="D127" s="526"/>
      <c r="F127" s="531">
        <v>8.5</v>
      </c>
      <c r="G127" s="531"/>
      <c r="H127" s="526" t="s">
        <v>196</v>
      </c>
      <c r="I127" s="526"/>
      <c r="J127" s="531">
        <f>B114</f>
        <v>8</v>
      </c>
      <c r="K127" s="531"/>
      <c r="L127" s="526" t="s">
        <v>197</v>
      </c>
      <c r="M127" s="526"/>
      <c r="N127" s="532">
        <f>F127*J127</f>
        <v>68</v>
      </c>
      <c r="O127" s="532"/>
      <c r="P127" s="200" t="s">
        <v>148</v>
      </c>
      <c r="AJ127" s="201"/>
      <c r="AK127" s="202"/>
      <c r="AL127" s="202"/>
      <c r="AM127" s="203"/>
      <c r="AN127" s="203"/>
    </row>
    <row r="128" spans="1:40">
      <c r="A128" s="526" t="s">
        <v>209</v>
      </c>
      <c r="B128" s="526"/>
      <c r="C128" s="526"/>
      <c r="D128" s="526"/>
      <c r="F128" s="531">
        <v>0.5</v>
      </c>
      <c r="G128" s="531"/>
      <c r="H128" s="526" t="s">
        <v>196</v>
      </c>
      <c r="I128" s="526"/>
      <c r="J128" s="531">
        <v>14</v>
      </c>
      <c r="K128" s="531"/>
      <c r="L128" s="526" t="s">
        <v>197</v>
      </c>
      <c r="M128" s="526"/>
      <c r="N128" s="532">
        <f>F128*J128</f>
        <v>7</v>
      </c>
      <c r="O128" s="532"/>
      <c r="P128" s="200" t="s">
        <v>148</v>
      </c>
      <c r="T128" s="199"/>
      <c r="U128" s="199"/>
      <c r="AJ128" s="201"/>
      <c r="AK128" s="202"/>
      <c r="AL128" s="202"/>
      <c r="AM128" s="203"/>
      <c r="AN128" s="203"/>
    </row>
    <row r="129" spans="1:40">
      <c r="A129" s="200" t="s">
        <v>210</v>
      </c>
      <c r="F129" s="531">
        <f>SUM(N120:O124)-SUM(N127:O128)</f>
        <v>266.98</v>
      </c>
      <c r="G129" s="533"/>
      <c r="H129" s="200" t="s">
        <v>211</v>
      </c>
      <c r="I129" s="533">
        <v>0.25</v>
      </c>
      <c r="J129" s="533"/>
      <c r="K129" s="200" t="s">
        <v>212</v>
      </c>
      <c r="L129" s="525">
        <f>F129*I129</f>
        <v>66.75</v>
      </c>
      <c r="M129" s="528"/>
      <c r="N129" s="199" t="s">
        <v>85</v>
      </c>
      <c r="AJ129" s="201"/>
      <c r="AK129" s="202"/>
      <c r="AL129" s="202"/>
      <c r="AM129" s="203"/>
      <c r="AN129" s="203"/>
    </row>
    <row r="130" spans="1:40">
      <c r="AJ130" s="201"/>
      <c r="AK130" s="202"/>
      <c r="AL130" s="202"/>
      <c r="AM130" s="203"/>
      <c r="AN130" s="203"/>
    </row>
    <row r="131" spans="1:40">
      <c r="A131" s="200" t="s">
        <v>213</v>
      </c>
      <c r="AJ131" s="201"/>
      <c r="AK131" s="202"/>
      <c r="AL131" s="202"/>
      <c r="AM131" s="203"/>
      <c r="AN131" s="203"/>
    </row>
    <row r="132" spans="1:40">
      <c r="E132" s="533"/>
      <c r="F132" s="533"/>
      <c r="H132" s="527"/>
      <c r="I132" s="527"/>
      <c r="J132" s="526"/>
      <c r="K132" s="526"/>
      <c r="L132" s="531"/>
      <c r="M132" s="531"/>
      <c r="AJ132" s="201"/>
      <c r="AK132" s="202"/>
      <c r="AL132" s="202"/>
      <c r="AM132" s="203"/>
      <c r="AN132" s="203"/>
    </row>
    <row r="133" spans="1:40">
      <c r="A133" s="526" t="s">
        <v>209</v>
      </c>
      <c r="B133" s="526"/>
      <c r="C133" s="526"/>
      <c r="D133" s="526"/>
      <c r="F133" s="531">
        <v>0.25</v>
      </c>
      <c r="G133" s="531"/>
      <c r="H133" s="526" t="s">
        <v>214</v>
      </c>
      <c r="I133" s="526"/>
      <c r="J133" s="531">
        <f>J128</f>
        <v>14</v>
      </c>
      <c r="K133" s="531"/>
      <c r="L133" s="526" t="s">
        <v>197</v>
      </c>
      <c r="M133" s="526"/>
      <c r="N133" s="532">
        <f>F133*J133</f>
        <v>3.5</v>
      </c>
      <c r="O133" s="532"/>
      <c r="P133" s="200" t="s">
        <v>85</v>
      </c>
      <c r="AJ133" s="201"/>
      <c r="AK133" s="202"/>
      <c r="AL133" s="202"/>
      <c r="AM133" s="203"/>
      <c r="AN133" s="203"/>
    </row>
    <row r="134" spans="1:40">
      <c r="E134" s="205"/>
      <c r="F134" s="205"/>
      <c r="H134" s="219"/>
      <c r="I134" s="219"/>
      <c r="J134" s="215"/>
      <c r="K134" s="215"/>
      <c r="L134" s="214"/>
      <c r="M134" s="214"/>
      <c r="AJ134" s="201"/>
      <c r="AK134" s="202"/>
      <c r="AL134" s="202"/>
      <c r="AM134" s="203"/>
      <c r="AN134" s="203"/>
    </row>
    <row r="135" spans="1:40">
      <c r="A135" s="200" t="s">
        <v>191</v>
      </c>
      <c r="C135" s="527">
        <f>L129+N133</f>
        <v>70.25</v>
      </c>
      <c r="D135" s="527"/>
      <c r="E135" s="205" t="s">
        <v>85</v>
      </c>
      <c r="F135" s="205"/>
      <c r="H135" s="219"/>
      <c r="I135" s="219"/>
      <c r="J135" s="215"/>
      <c r="K135" s="215"/>
      <c r="L135" s="214"/>
      <c r="M135" s="214"/>
      <c r="AJ135" s="201"/>
      <c r="AK135" s="202"/>
      <c r="AL135" s="202"/>
      <c r="AM135" s="203"/>
      <c r="AN135" s="203"/>
    </row>
    <row r="136" spans="1:40">
      <c r="AJ136" s="201"/>
      <c r="AK136" s="202"/>
      <c r="AL136" s="202"/>
      <c r="AM136" s="203"/>
      <c r="AN136" s="203"/>
    </row>
    <row r="137" spans="1:40" ht="15">
      <c r="A137" s="542" t="s">
        <v>426</v>
      </c>
      <c r="B137" s="542"/>
      <c r="C137" s="542"/>
      <c r="D137" s="542"/>
      <c r="E137" s="542"/>
      <c r="F137" s="542"/>
      <c r="G137" s="542"/>
      <c r="H137" s="542"/>
      <c r="I137" s="542"/>
      <c r="J137" s="542"/>
      <c r="K137" s="542"/>
      <c r="L137" s="542"/>
      <c r="M137" s="542"/>
      <c r="N137" s="542"/>
      <c r="O137" s="542"/>
      <c r="P137" s="542"/>
      <c r="Q137" s="542"/>
      <c r="R137" s="542"/>
      <c r="S137" s="542"/>
      <c r="T137" s="542"/>
      <c r="U137" s="542"/>
      <c r="V137" s="542"/>
      <c r="W137" s="542"/>
      <c r="X137" s="542"/>
      <c r="Y137" s="542"/>
      <c r="Z137" s="542"/>
      <c r="AA137" s="542"/>
      <c r="AB137" s="542"/>
      <c r="AC137" s="542"/>
      <c r="AD137" s="542"/>
      <c r="AE137" s="542"/>
      <c r="AF137" s="542"/>
      <c r="AG137" s="542"/>
      <c r="AH137" s="542"/>
      <c r="AI137" s="542"/>
      <c r="AJ137" s="201"/>
      <c r="AK137" s="202"/>
      <c r="AL137" s="202"/>
      <c r="AM137" s="203"/>
      <c r="AN137" s="203"/>
    </row>
    <row r="138" spans="1:40">
      <c r="AJ138" s="201"/>
      <c r="AK138" s="202"/>
      <c r="AL138" s="202"/>
      <c r="AM138" s="203"/>
      <c r="AN138" s="203"/>
    </row>
    <row r="139" spans="1:40">
      <c r="A139" s="530" t="s">
        <v>491</v>
      </c>
      <c r="B139" s="530"/>
      <c r="C139" s="530"/>
      <c r="D139" s="530"/>
      <c r="E139" s="530"/>
      <c r="F139" s="530"/>
      <c r="G139" s="530"/>
      <c r="H139" s="530"/>
      <c r="I139" s="530"/>
      <c r="J139" s="530"/>
      <c r="K139" s="530"/>
      <c r="L139" s="530"/>
      <c r="M139" s="530"/>
      <c r="N139" s="530"/>
      <c r="O139" s="530"/>
      <c r="P139" s="530"/>
      <c r="Q139" s="530"/>
      <c r="R139" s="530"/>
      <c r="S139" s="530"/>
      <c r="T139" s="530"/>
      <c r="U139" s="530"/>
      <c r="V139" s="530"/>
      <c r="W139" s="530"/>
      <c r="X139" s="530"/>
      <c r="Y139" s="530"/>
      <c r="Z139" s="530"/>
      <c r="AA139" s="530"/>
      <c r="AB139" s="530"/>
      <c r="AC139" s="530"/>
      <c r="AD139" s="530"/>
      <c r="AE139" s="530"/>
      <c r="AF139" s="530"/>
      <c r="AG139" s="530"/>
      <c r="AH139" s="530"/>
      <c r="AI139" s="530"/>
      <c r="AJ139" s="201"/>
      <c r="AK139" s="202"/>
      <c r="AL139" s="202"/>
      <c r="AM139" s="203"/>
      <c r="AN139" s="203"/>
    </row>
    <row r="140" spans="1:40">
      <c r="AJ140" s="201"/>
      <c r="AK140" s="202"/>
      <c r="AL140" s="202"/>
      <c r="AM140" s="203"/>
      <c r="AN140" s="203"/>
    </row>
    <row r="141" spans="1:40">
      <c r="A141" s="200" t="s">
        <v>174</v>
      </c>
      <c r="C141" s="525">
        <f>SUM(F81:G85)</f>
        <v>341.98</v>
      </c>
      <c r="D141" s="525"/>
      <c r="E141" s="198" t="s">
        <v>175</v>
      </c>
      <c r="F141" s="200" t="s">
        <v>216</v>
      </c>
      <c r="G141" s="528">
        <v>0.15</v>
      </c>
      <c r="H141" s="528"/>
      <c r="I141" s="198" t="s">
        <v>217</v>
      </c>
      <c r="J141" s="525">
        <v>0.15</v>
      </c>
      <c r="K141" s="525"/>
      <c r="L141" s="214" t="s">
        <v>218</v>
      </c>
      <c r="M141" s="543"/>
      <c r="N141" s="543"/>
      <c r="S141" s="200"/>
      <c r="AF141" s="198"/>
      <c r="AG141" s="199"/>
      <c r="AH141" s="199"/>
      <c r="AJ141" s="203"/>
      <c r="AK141" s="200"/>
      <c r="AL141" s="200"/>
    </row>
    <row r="142" spans="1:40">
      <c r="A142" s="200" t="s">
        <v>174</v>
      </c>
      <c r="B142" s="543">
        <f>(C141)*(G141+J141)</f>
        <v>102.59</v>
      </c>
      <c r="C142" s="543"/>
      <c r="D142" s="543"/>
      <c r="E142" s="200" t="s">
        <v>85</v>
      </c>
      <c r="AJ142" s="201"/>
      <c r="AK142" s="202"/>
      <c r="AL142" s="202"/>
      <c r="AM142" s="203"/>
      <c r="AN142" s="203"/>
    </row>
    <row r="143" spans="1:40">
      <c r="AJ143" s="201"/>
      <c r="AK143" s="202"/>
      <c r="AL143" s="202"/>
      <c r="AM143" s="203"/>
      <c r="AN143" s="203"/>
    </row>
    <row r="144" spans="1:40">
      <c r="AJ144" s="201"/>
      <c r="AK144" s="202"/>
      <c r="AL144" s="202"/>
      <c r="AM144" s="203"/>
      <c r="AN144" s="203"/>
    </row>
    <row r="145" spans="1:40" s="223" customFormat="1" ht="15" customHeight="1">
      <c r="A145" s="544" t="s">
        <v>427</v>
      </c>
      <c r="B145" s="544"/>
      <c r="C145" s="544"/>
      <c r="D145" s="544"/>
      <c r="E145" s="544"/>
      <c r="F145" s="544"/>
      <c r="G145" s="544"/>
      <c r="H145" s="544"/>
      <c r="I145" s="544"/>
      <c r="J145" s="544"/>
      <c r="K145" s="544"/>
      <c r="L145" s="544"/>
      <c r="M145" s="544"/>
      <c r="N145" s="544"/>
      <c r="O145" s="544"/>
      <c r="P145" s="544"/>
      <c r="Q145" s="544"/>
      <c r="R145" s="544"/>
      <c r="S145" s="544"/>
      <c r="T145" s="544"/>
      <c r="U145" s="544"/>
      <c r="V145" s="544"/>
      <c r="W145" s="544"/>
      <c r="X145" s="544"/>
      <c r="Y145" s="544"/>
      <c r="Z145" s="544"/>
      <c r="AA145" s="544"/>
      <c r="AB145" s="544"/>
      <c r="AC145" s="544"/>
      <c r="AD145" s="544"/>
      <c r="AE145" s="544"/>
      <c r="AF145" s="544"/>
      <c r="AG145" s="544"/>
      <c r="AH145" s="544"/>
      <c r="AI145" s="544"/>
      <c r="AJ145" s="220"/>
      <c r="AK145" s="221"/>
      <c r="AL145" s="221"/>
      <c r="AM145" s="222"/>
      <c r="AN145" s="222"/>
    </row>
    <row r="146" spans="1:40">
      <c r="AM146" s="203"/>
      <c r="AN146" s="203"/>
    </row>
    <row r="147" spans="1:40">
      <c r="A147" s="538" t="s">
        <v>490</v>
      </c>
      <c r="B147" s="538"/>
      <c r="C147" s="538"/>
      <c r="D147" s="538"/>
      <c r="E147" s="538"/>
      <c r="F147" s="538"/>
      <c r="G147" s="538"/>
      <c r="H147" s="538"/>
      <c r="I147" s="538"/>
      <c r="J147" s="538"/>
      <c r="K147" s="538"/>
      <c r="L147" s="538"/>
      <c r="M147" s="538"/>
      <c r="N147" s="538"/>
      <c r="O147" s="538"/>
      <c r="P147" s="538"/>
      <c r="Q147" s="538"/>
      <c r="R147" s="538"/>
      <c r="S147" s="538"/>
      <c r="T147" s="538"/>
      <c r="U147" s="538"/>
      <c r="V147" s="538"/>
      <c r="W147" s="538"/>
      <c r="X147" s="538"/>
      <c r="Y147" s="538"/>
      <c r="Z147" s="538"/>
      <c r="AA147" s="538"/>
      <c r="AB147" s="538"/>
      <c r="AC147" s="538"/>
      <c r="AD147" s="538"/>
      <c r="AE147" s="538"/>
      <c r="AF147" s="538"/>
      <c r="AG147" s="538"/>
      <c r="AH147" s="538"/>
      <c r="AI147" s="538"/>
      <c r="AM147" s="203"/>
      <c r="AN147" s="203"/>
    </row>
    <row r="148" spans="1:40">
      <c r="A148" s="538"/>
      <c r="B148" s="538"/>
      <c r="C148" s="538"/>
      <c r="D148" s="538"/>
      <c r="E148" s="538"/>
      <c r="F148" s="538"/>
      <c r="G148" s="538"/>
      <c r="H148" s="538"/>
      <c r="I148" s="538"/>
      <c r="J148" s="538"/>
      <c r="K148" s="538"/>
      <c r="L148" s="538"/>
      <c r="M148" s="538"/>
      <c r="N148" s="538"/>
      <c r="O148" s="538"/>
      <c r="P148" s="538"/>
      <c r="Q148" s="538"/>
      <c r="R148" s="538"/>
      <c r="S148" s="538"/>
      <c r="T148" s="538"/>
      <c r="U148" s="538"/>
      <c r="V148" s="538"/>
      <c r="W148" s="538"/>
      <c r="X148" s="538"/>
      <c r="Y148" s="538"/>
      <c r="Z148" s="538"/>
      <c r="AA148" s="538"/>
      <c r="AB148" s="538"/>
      <c r="AC148" s="538"/>
      <c r="AD148" s="538"/>
      <c r="AE148" s="538"/>
      <c r="AF148" s="538"/>
      <c r="AG148" s="538"/>
      <c r="AH148" s="538"/>
      <c r="AI148" s="538"/>
      <c r="AM148" s="203"/>
      <c r="AN148" s="203"/>
    </row>
    <row r="149" spans="1:40">
      <c r="AJ149" s="525" t="s">
        <v>220</v>
      </c>
      <c r="AK149" s="525"/>
      <c r="AL149" s="199" t="s">
        <v>221</v>
      </c>
      <c r="AM149" s="203"/>
      <c r="AN149" s="203"/>
    </row>
    <row r="150" spans="1:40">
      <c r="B150" s="200" t="s">
        <v>222</v>
      </c>
      <c r="AK150" s="198"/>
      <c r="AM150" s="203"/>
      <c r="AN150" s="203"/>
    </row>
    <row r="151" spans="1:40">
      <c r="A151" s="200" t="s">
        <v>174</v>
      </c>
      <c r="B151" s="527">
        <f>AJ152</f>
        <v>0</v>
      </c>
      <c r="C151" s="527"/>
      <c r="D151" s="200" t="s">
        <v>102</v>
      </c>
      <c r="F151" s="200" t="s">
        <v>175</v>
      </c>
      <c r="G151" s="525">
        <f>AL152</f>
        <v>0.28000000000000003</v>
      </c>
      <c r="H151" s="525"/>
      <c r="I151" s="200" t="s">
        <v>223</v>
      </c>
      <c r="AK151" s="198"/>
      <c r="AM151" s="203"/>
      <c r="AN151" s="203"/>
    </row>
    <row r="152" spans="1:40">
      <c r="A152" s="200" t="s">
        <v>224</v>
      </c>
      <c r="B152" s="543">
        <f>B151*G151</f>
        <v>0</v>
      </c>
      <c r="C152" s="543"/>
      <c r="D152" s="530" t="s">
        <v>85</v>
      </c>
      <c r="E152" s="530"/>
      <c r="AJ152" s="198">
        <v>0</v>
      </c>
      <c r="AL152" s="199">
        <f>PI()*0.3^2</f>
        <v>0.28000000000000003</v>
      </c>
      <c r="AM152" s="203"/>
      <c r="AN152" s="203"/>
    </row>
    <row r="154" spans="1:40">
      <c r="B154" s="200" t="s">
        <v>225</v>
      </c>
      <c r="AK154" s="198"/>
      <c r="AM154" s="203"/>
      <c r="AN154" s="203"/>
    </row>
    <row r="155" spans="1:40">
      <c r="A155" s="200" t="s">
        <v>174</v>
      </c>
      <c r="B155" s="527">
        <f>AJ156</f>
        <v>2</v>
      </c>
      <c r="C155" s="527"/>
      <c r="D155" s="200" t="s">
        <v>102</v>
      </c>
      <c r="F155" s="200" t="s">
        <v>175</v>
      </c>
      <c r="G155" s="525">
        <f>AL156</f>
        <v>0.2</v>
      </c>
      <c r="H155" s="525"/>
      <c r="I155" s="200" t="s">
        <v>223</v>
      </c>
      <c r="AJ155" s="525" t="s">
        <v>226</v>
      </c>
      <c r="AK155" s="525"/>
      <c r="AM155" s="203"/>
      <c r="AN155" s="203"/>
    </row>
    <row r="156" spans="1:40">
      <c r="A156" s="200" t="s">
        <v>224</v>
      </c>
      <c r="B156" s="543">
        <f>B155*G155</f>
        <v>0.4</v>
      </c>
      <c r="C156" s="543"/>
      <c r="D156" s="530" t="s">
        <v>85</v>
      </c>
      <c r="E156" s="530"/>
      <c r="AJ156" s="198">
        <v>2</v>
      </c>
      <c r="AL156" s="199">
        <f>PI()*0.25^2</f>
        <v>0.2</v>
      </c>
      <c r="AM156" s="203"/>
      <c r="AN156" s="203"/>
    </row>
    <row r="158" spans="1:40">
      <c r="A158" s="200" t="s">
        <v>185</v>
      </c>
      <c r="C158" s="525">
        <f>B152+B156</f>
        <v>0.4</v>
      </c>
      <c r="D158" s="528"/>
      <c r="E158" s="200" t="s">
        <v>85</v>
      </c>
    </row>
    <row r="160" spans="1:40" s="197" customFormat="1" ht="15">
      <c r="A160" s="539" t="s">
        <v>328</v>
      </c>
      <c r="B160" s="540"/>
      <c r="C160" s="540"/>
      <c r="D160" s="540"/>
      <c r="E160" s="540"/>
      <c r="F160" s="540"/>
      <c r="G160" s="540"/>
      <c r="H160" s="540"/>
      <c r="I160" s="540"/>
      <c r="J160" s="540"/>
      <c r="K160" s="540"/>
      <c r="L160" s="540"/>
      <c r="M160" s="540"/>
      <c r="N160" s="540"/>
      <c r="O160" s="540"/>
      <c r="P160" s="540"/>
      <c r="Q160" s="540"/>
      <c r="R160" s="540"/>
      <c r="S160" s="540"/>
      <c r="T160" s="540"/>
      <c r="U160" s="540"/>
      <c r="V160" s="540"/>
      <c r="W160" s="540"/>
      <c r="X160" s="540"/>
      <c r="Y160" s="540"/>
      <c r="Z160" s="540"/>
      <c r="AA160" s="540"/>
      <c r="AB160" s="540"/>
      <c r="AC160" s="540"/>
      <c r="AD160" s="540"/>
      <c r="AE160" s="540"/>
      <c r="AF160" s="540"/>
      <c r="AG160" s="540"/>
      <c r="AH160" s="540"/>
      <c r="AI160" s="541"/>
      <c r="AJ160" s="224"/>
      <c r="AK160" s="210"/>
      <c r="AL160" s="210"/>
    </row>
    <row r="161" spans="1:38" s="197" customFormat="1">
      <c r="A161" s="200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199"/>
      <c r="O161" s="199"/>
      <c r="P161" s="200"/>
      <c r="Q161" s="200"/>
      <c r="R161" s="200"/>
      <c r="S161" s="199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24"/>
      <c r="AK161" s="210"/>
      <c r="AL161" s="210"/>
    </row>
    <row r="162" spans="1:38" s="197" customFormat="1" ht="15">
      <c r="A162" s="542" t="s">
        <v>329</v>
      </c>
      <c r="B162" s="542"/>
      <c r="C162" s="542"/>
      <c r="D162" s="542"/>
      <c r="E162" s="542"/>
      <c r="F162" s="542"/>
      <c r="G162" s="542"/>
      <c r="H162" s="542"/>
      <c r="I162" s="542"/>
      <c r="J162" s="542"/>
      <c r="K162" s="542"/>
      <c r="L162" s="542"/>
      <c r="M162" s="542"/>
      <c r="N162" s="542"/>
      <c r="O162" s="542"/>
      <c r="P162" s="542"/>
      <c r="Q162" s="542"/>
      <c r="R162" s="542"/>
      <c r="S162" s="542"/>
      <c r="T162" s="542"/>
      <c r="U162" s="542"/>
      <c r="V162" s="542"/>
      <c r="W162" s="542"/>
      <c r="X162" s="542"/>
      <c r="Y162" s="542"/>
      <c r="Z162" s="542"/>
      <c r="AA162" s="542"/>
      <c r="AB162" s="542"/>
      <c r="AC162" s="542"/>
      <c r="AD162" s="542"/>
      <c r="AE162" s="542"/>
      <c r="AF162" s="542"/>
      <c r="AG162" s="542"/>
      <c r="AH162" s="542"/>
      <c r="AI162" s="542"/>
      <c r="AJ162" s="224"/>
      <c r="AK162" s="210"/>
      <c r="AL162" s="210"/>
    </row>
    <row r="163" spans="1:38" s="197" customFormat="1">
      <c r="A163" s="200"/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199"/>
      <c r="O163" s="199"/>
      <c r="P163" s="200"/>
      <c r="Q163" s="200"/>
      <c r="R163" s="200"/>
      <c r="S163" s="199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24"/>
      <c r="AK163" s="210"/>
      <c r="AL163" s="210"/>
    </row>
    <row r="164" spans="1:38" s="197" customFormat="1">
      <c r="A164" s="530" t="s">
        <v>335</v>
      </c>
      <c r="B164" s="530"/>
      <c r="C164" s="530"/>
      <c r="D164" s="530"/>
      <c r="E164" s="530"/>
      <c r="F164" s="530"/>
      <c r="G164" s="530"/>
      <c r="H164" s="530"/>
      <c r="I164" s="530"/>
      <c r="J164" s="530"/>
      <c r="K164" s="530"/>
      <c r="L164" s="530"/>
      <c r="M164" s="530"/>
      <c r="N164" s="530"/>
      <c r="O164" s="530"/>
      <c r="P164" s="530"/>
      <c r="Q164" s="530"/>
      <c r="R164" s="530"/>
      <c r="S164" s="530"/>
      <c r="T164" s="530"/>
      <c r="U164" s="530"/>
      <c r="V164" s="530"/>
      <c r="W164" s="530"/>
      <c r="X164" s="530"/>
      <c r="Y164" s="530"/>
      <c r="Z164" s="530"/>
      <c r="AA164" s="530"/>
      <c r="AB164" s="530"/>
      <c r="AC164" s="530"/>
      <c r="AD164" s="530"/>
      <c r="AE164" s="530"/>
      <c r="AF164" s="530"/>
      <c r="AG164" s="530"/>
      <c r="AH164" s="530"/>
      <c r="AI164" s="530"/>
      <c r="AJ164" s="224"/>
      <c r="AK164" s="210"/>
      <c r="AL164" s="210"/>
    </row>
    <row r="165" spans="1:38" s="197" customFormat="1">
      <c r="A165" s="200"/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/>
      <c r="AD165" s="200"/>
      <c r="AE165" s="200"/>
      <c r="AF165" s="200"/>
      <c r="AG165" s="200"/>
      <c r="AH165" s="200"/>
      <c r="AI165" s="200"/>
      <c r="AJ165" s="224"/>
      <c r="AK165" s="210"/>
      <c r="AL165" s="210"/>
    </row>
    <row r="166" spans="1:38" s="197" customFormat="1">
      <c r="A166" s="526" t="s">
        <v>350</v>
      </c>
      <c r="B166" s="526"/>
      <c r="C166" s="526"/>
      <c r="D166" s="526"/>
      <c r="E166" s="526"/>
      <c r="F166" s="526"/>
      <c r="G166" s="533">
        <f>21+21</f>
        <v>42</v>
      </c>
      <c r="H166" s="533"/>
      <c r="I166" s="200" t="s">
        <v>196</v>
      </c>
      <c r="J166" s="531">
        <v>1</v>
      </c>
      <c r="K166" s="531"/>
      <c r="L166" s="528" t="s">
        <v>197</v>
      </c>
      <c r="M166" s="528"/>
      <c r="N166" s="531">
        <f>G166*J166</f>
        <v>42</v>
      </c>
      <c r="O166" s="531"/>
      <c r="P166" s="200" t="s">
        <v>148</v>
      </c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24"/>
      <c r="AK166" s="210"/>
      <c r="AL166" s="210"/>
    </row>
    <row r="167" spans="1:38" s="197" customFormat="1">
      <c r="A167" s="200"/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24"/>
      <c r="AK167" s="210"/>
      <c r="AL167" s="210"/>
    </row>
    <row r="168" spans="1:38" s="197" customFormat="1">
      <c r="A168" s="200" t="s">
        <v>191</v>
      </c>
      <c r="B168" s="200"/>
      <c r="C168" s="527">
        <f>SUM(N166:N166)</f>
        <v>42</v>
      </c>
      <c r="D168" s="527"/>
      <c r="E168" s="200" t="s">
        <v>148</v>
      </c>
      <c r="F168" s="200"/>
      <c r="G168" s="200"/>
      <c r="H168" s="200"/>
      <c r="I168" s="200"/>
      <c r="J168" s="200"/>
      <c r="K168" s="200"/>
      <c r="L168" s="200"/>
      <c r="M168" s="200"/>
      <c r="N168" s="199"/>
      <c r="O168" s="199"/>
      <c r="P168" s="200"/>
      <c r="Q168" s="200"/>
      <c r="R168" s="200"/>
      <c r="S168" s="199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24"/>
      <c r="AK168" s="210"/>
      <c r="AL168" s="210"/>
    </row>
    <row r="169" spans="1:38" s="197" customFormat="1">
      <c r="A169" s="200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199"/>
      <c r="O169" s="199"/>
      <c r="P169" s="200"/>
      <c r="Q169" s="200"/>
      <c r="R169" s="200"/>
      <c r="S169" s="199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24"/>
      <c r="AK169" s="210"/>
      <c r="AL169" s="210"/>
    </row>
    <row r="170" spans="1:38" s="197" customFormat="1" ht="29.25" customHeight="1">
      <c r="A170" s="529" t="s">
        <v>336</v>
      </c>
      <c r="B170" s="529"/>
      <c r="C170" s="529"/>
      <c r="D170" s="529"/>
      <c r="E170" s="529"/>
      <c r="F170" s="529"/>
      <c r="G170" s="529"/>
      <c r="H170" s="529"/>
      <c r="I170" s="529"/>
      <c r="J170" s="529"/>
      <c r="K170" s="529"/>
      <c r="L170" s="529"/>
      <c r="M170" s="529"/>
      <c r="N170" s="529"/>
      <c r="O170" s="529"/>
      <c r="P170" s="529"/>
      <c r="Q170" s="529"/>
      <c r="R170" s="529"/>
      <c r="S170" s="529"/>
      <c r="T170" s="529"/>
      <c r="U170" s="529"/>
      <c r="V170" s="529"/>
      <c r="W170" s="529"/>
      <c r="X170" s="529"/>
      <c r="Y170" s="529"/>
      <c r="Z170" s="529"/>
      <c r="AA170" s="529"/>
      <c r="AB170" s="529"/>
      <c r="AC170" s="529"/>
      <c r="AD170" s="529"/>
      <c r="AE170" s="529"/>
      <c r="AF170" s="529"/>
      <c r="AG170" s="529"/>
      <c r="AH170" s="529"/>
      <c r="AI170" s="529"/>
      <c r="AJ170" s="224"/>
      <c r="AK170" s="210"/>
      <c r="AL170" s="210"/>
    </row>
    <row r="171" spans="1:38" s="197" customFormat="1" ht="15">
      <c r="A171" s="385"/>
      <c r="B171" s="385"/>
      <c r="C171" s="385"/>
      <c r="D171" s="385"/>
      <c r="E171" s="385"/>
      <c r="F171" s="385"/>
      <c r="G171" s="385"/>
      <c r="H171" s="385"/>
      <c r="I171" s="385"/>
      <c r="J171" s="385"/>
      <c r="K171" s="385"/>
      <c r="L171" s="385"/>
      <c r="M171" s="385"/>
      <c r="N171" s="385"/>
      <c r="O171" s="385"/>
      <c r="P171" s="385"/>
      <c r="Q171" s="385"/>
      <c r="R171" s="385"/>
      <c r="S171" s="385"/>
      <c r="T171" s="385"/>
      <c r="U171" s="385"/>
      <c r="V171" s="385"/>
      <c r="W171" s="385"/>
      <c r="X171" s="385"/>
      <c r="Y171" s="385"/>
      <c r="Z171" s="385"/>
      <c r="AA171" s="385"/>
      <c r="AB171" s="385"/>
      <c r="AC171" s="385"/>
      <c r="AD171" s="385"/>
      <c r="AE171" s="385"/>
      <c r="AF171" s="385"/>
      <c r="AG171" s="385"/>
      <c r="AH171" s="385"/>
      <c r="AI171" s="385"/>
      <c r="AJ171" s="224"/>
      <c r="AK171" s="210"/>
      <c r="AL171" s="210"/>
    </row>
    <row r="172" spans="1:38" s="197" customFormat="1">
      <c r="A172" s="538" t="s">
        <v>337</v>
      </c>
      <c r="B172" s="538"/>
      <c r="C172" s="538"/>
      <c r="D172" s="538"/>
      <c r="E172" s="538"/>
      <c r="F172" s="538"/>
      <c r="G172" s="538"/>
      <c r="H172" s="538"/>
      <c r="I172" s="538"/>
      <c r="J172" s="538"/>
      <c r="K172" s="538"/>
      <c r="L172" s="538"/>
      <c r="M172" s="538"/>
      <c r="N172" s="538"/>
      <c r="O172" s="538"/>
      <c r="P172" s="538"/>
      <c r="Q172" s="538"/>
      <c r="R172" s="538"/>
      <c r="S172" s="538"/>
      <c r="T172" s="538"/>
      <c r="U172" s="538"/>
      <c r="V172" s="538"/>
      <c r="W172" s="538"/>
      <c r="X172" s="538"/>
      <c r="Y172" s="538"/>
      <c r="Z172" s="538"/>
      <c r="AA172" s="538"/>
      <c r="AB172" s="538"/>
      <c r="AC172" s="538"/>
      <c r="AD172" s="538"/>
      <c r="AE172" s="538"/>
      <c r="AF172" s="538"/>
      <c r="AG172" s="538"/>
      <c r="AH172" s="538"/>
      <c r="AI172" s="538"/>
      <c r="AJ172" s="224"/>
      <c r="AK172" s="210"/>
      <c r="AL172" s="210"/>
    </row>
    <row r="173" spans="1:38" s="197" customFormat="1" ht="15">
      <c r="A173" s="385"/>
      <c r="B173" s="385"/>
      <c r="C173" s="385"/>
      <c r="D173" s="385"/>
      <c r="E173" s="385"/>
      <c r="F173" s="385"/>
      <c r="G173" s="385"/>
      <c r="H173" s="385"/>
      <c r="I173" s="385"/>
      <c r="J173" s="385"/>
      <c r="K173" s="385"/>
      <c r="L173" s="385"/>
      <c r="M173" s="385"/>
      <c r="N173" s="385"/>
      <c r="O173" s="385"/>
      <c r="P173" s="385"/>
      <c r="Q173" s="385"/>
      <c r="R173" s="385"/>
      <c r="S173" s="385"/>
      <c r="T173" s="385"/>
      <c r="U173" s="385"/>
      <c r="V173" s="385"/>
      <c r="W173" s="385"/>
      <c r="X173" s="385"/>
      <c r="Y173" s="385"/>
      <c r="Z173" s="385"/>
      <c r="AA173" s="385"/>
      <c r="AB173" s="385"/>
      <c r="AC173" s="385"/>
      <c r="AD173" s="385"/>
      <c r="AE173" s="385"/>
      <c r="AF173" s="385"/>
      <c r="AG173" s="385"/>
      <c r="AH173" s="385"/>
      <c r="AI173" s="385"/>
      <c r="AL173" s="210"/>
    </row>
    <row r="174" spans="1:38" s="197" customFormat="1">
      <c r="A174" s="200"/>
      <c r="B174" s="200"/>
      <c r="C174" s="200"/>
      <c r="D174" s="200"/>
      <c r="E174" s="200"/>
      <c r="F174" s="200"/>
      <c r="G174" s="528" t="s">
        <v>81</v>
      </c>
      <c r="H174" s="528"/>
      <c r="I174" s="200"/>
      <c r="J174" s="528" t="s">
        <v>338</v>
      </c>
      <c r="K174" s="528"/>
      <c r="L174" s="200"/>
      <c r="M174" s="200"/>
      <c r="N174" s="525" t="s">
        <v>339</v>
      </c>
      <c r="O174" s="525"/>
      <c r="P174" s="200"/>
      <c r="Q174" s="200"/>
      <c r="R174" s="528" t="s">
        <v>340</v>
      </c>
      <c r="S174" s="528"/>
      <c r="T174" s="200"/>
      <c r="U174" s="200"/>
      <c r="V174" s="528" t="s">
        <v>293</v>
      </c>
      <c r="W174" s="528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24"/>
      <c r="AK174" s="210"/>
      <c r="AL174" s="210"/>
    </row>
    <row r="175" spans="1:38" s="197" customFormat="1">
      <c r="A175" s="526" t="s">
        <v>350</v>
      </c>
      <c r="B175" s="526"/>
      <c r="C175" s="526"/>
      <c r="D175" s="526"/>
      <c r="E175" s="526"/>
      <c r="F175" s="526"/>
      <c r="G175" s="533">
        <f>C168</f>
        <v>42</v>
      </c>
      <c r="H175" s="533"/>
      <c r="I175" s="200" t="s">
        <v>196</v>
      </c>
      <c r="J175" s="531">
        <v>1.5</v>
      </c>
      <c r="K175" s="531"/>
      <c r="L175" s="526" t="s">
        <v>196</v>
      </c>
      <c r="M175" s="526"/>
      <c r="N175" s="532">
        <f>1.2+0.15</f>
        <v>1.35</v>
      </c>
      <c r="O175" s="532"/>
      <c r="P175" s="526" t="s">
        <v>196</v>
      </c>
      <c r="Q175" s="526"/>
      <c r="R175" s="531">
        <v>1</v>
      </c>
      <c r="S175" s="531"/>
      <c r="T175" s="526" t="s">
        <v>197</v>
      </c>
      <c r="U175" s="526"/>
      <c r="V175" s="527">
        <f>G175*J175*N175*R175</f>
        <v>85.05</v>
      </c>
      <c r="W175" s="527"/>
      <c r="X175" s="225" t="s">
        <v>58</v>
      </c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24"/>
      <c r="AK175" s="210"/>
      <c r="AL175" s="210"/>
    </row>
    <row r="176" spans="1:38" s="197" customFormat="1">
      <c r="A176" s="200" t="s">
        <v>341</v>
      </c>
      <c r="B176" s="200"/>
      <c r="C176" s="200"/>
      <c r="D176" s="200"/>
      <c r="E176" s="200"/>
      <c r="F176" s="200"/>
      <c r="G176" s="531">
        <v>1.5</v>
      </c>
      <c r="H176" s="531"/>
      <c r="I176" s="200" t="s">
        <v>196</v>
      </c>
      <c r="J176" s="531">
        <v>1.5</v>
      </c>
      <c r="K176" s="531"/>
      <c r="L176" s="526" t="s">
        <v>196</v>
      </c>
      <c r="M176" s="526"/>
      <c r="N176" s="532">
        <f>1.2+0.15</f>
        <v>1.35</v>
      </c>
      <c r="O176" s="532"/>
      <c r="P176" s="526" t="s">
        <v>196</v>
      </c>
      <c r="Q176" s="526"/>
      <c r="R176" s="531">
        <v>4</v>
      </c>
      <c r="S176" s="531"/>
      <c r="T176" s="526" t="s">
        <v>197</v>
      </c>
      <c r="U176" s="526"/>
      <c r="V176" s="527">
        <f t="shared" ref="V176" si="4">G176*J176*N176*R176</f>
        <v>12.15</v>
      </c>
      <c r="W176" s="527"/>
      <c r="X176" s="225" t="s">
        <v>58</v>
      </c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24"/>
      <c r="AK176" s="210"/>
      <c r="AL176" s="210"/>
    </row>
    <row r="177" spans="1:38" s="197" customFormat="1">
      <c r="A177" s="200"/>
      <c r="B177" s="200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199"/>
      <c r="O177" s="199"/>
      <c r="P177" s="200"/>
      <c r="Q177" s="200"/>
      <c r="R177" s="200"/>
      <c r="S177" s="199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24"/>
      <c r="AK177" s="210"/>
      <c r="AL177" s="210"/>
    </row>
    <row r="178" spans="1:38" s="197" customFormat="1">
      <c r="A178" s="200" t="s">
        <v>191</v>
      </c>
      <c r="B178" s="200"/>
      <c r="C178" s="531">
        <f>SUM(V175:W176)</f>
        <v>97.2</v>
      </c>
      <c r="D178" s="533"/>
      <c r="E178" s="200" t="s">
        <v>58</v>
      </c>
      <c r="F178" s="200"/>
      <c r="G178" s="200"/>
      <c r="H178" s="200"/>
      <c r="I178" s="200"/>
      <c r="J178" s="200"/>
      <c r="K178" s="200"/>
      <c r="L178" s="200"/>
      <c r="M178" s="200"/>
      <c r="N178" s="199"/>
      <c r="O178" s="199"/>
      <c r="P178" s="200"/>
      <c r="Q178" s="200"/>
      <c r="R178" s="200"/>
      <c r="S178" s="199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24"/>
      <c r="AK178" s="210"/>
      <c r="AL178" s="210"/>
    </row>
    <row r="179" spans="1:38" s="197" customFormat="1">
      <c r="A179" s="200"/>
      <c r="B179" s="200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199"/>
      <c r="O179" s="199"/>
      <c r="P179" s="200"/>
      <c r="Q179" s="200"/>
      <c r="R179" s="200"/>
      <c r="S179" s="199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24"/>
      <c r="AK179" s="210"/>
      <c r="AL179" s="210"/>
    </row>
    <row r="180" spans="1:38" s="197" customFormat="1" ht="15">
      <c r="A180" s="534" t="s">
        <v>352</v>
      </c>
      <c r="B180" s="534"/>
      <c r="C180" s="534"/>
      <c r="D180" s="534"/>
      <c r="E180" s="534"/>
      <c r="F180" s="534"/>
      <c r="G180" s="534"/>
      <c r="H180" s="534"/>
      <c r="I180" s="534"/>
      <c r="J180" s="534"/>
      <c r="K180" s="534"/>
      <c r="L180" s="534"/>
      <c r="M180" s="534"/>
      <c r="N180" s="534"/>
      <c r="O180" s="534"/>
      <c r="P180" s="534"/>
      <c r="Q180" s="534"/>
      <c r="R180" s="534"/>
      <c r="S180" s="534"/>
      <c r="T180" s="534"/>
      <c r="U180" s="534"/>
      <c r="V180" s="534"/>
      <c r="W180" s="534"/>
      <c r="X180" s="534"/>
      <c r="Y180" s="534"/>
      <c r="Z180" s="534"/>
      <c r="AA180" s="534"/>
      <c r="AB180" s="534"/>
      <c r="AC180" s="534"/>
      <c r="AD180" s="534"/>
      <c r="AE180" s="534"/>
      <c r="AF180" s="534"/>
      <c r="AG180" s="534"/>
      <c r="AH180" s="534"/>
      <c r="AI180" s="534"/>
      <c r="AJ180" s="224"/>
      <c r="AK180" s="210"/>
      <c r="AL180" s="210"/>
    </row>
    <row r="181" spans="1:38" s="197" customFormat="1">
      <c r="A181" s="200"/>
      <c r="B181" s="200"/>
      <c r="C181" s="200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199"/>
      <c r="O181" s="199"/>
      <c r="P181" s="200"/>
      <c r="Q181" s="200"/>
      <c r="R181" s="200"/>
      <c r="S181" s="199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24"/>
      <c r="AK181" s="210"/>
      <c r="AL181" s="210"/>
    </row>
    <row r="182" spans="1:38" s="197" customFormat="1">
      <c r="A182" s="200"/>
      <c r="B182" s="200"/>
      <c r="C182" s="200"/>
      <c r="D182" s="200"/>
      <c r="E182" s="200"/>
      <c r="F182" s="200"/>
      <c r="G182" s="528" t="s">
        <v>81</v>
      </c>
      <c r="H182" s="528"/>
      <c r="I182" s="200"/>
      <c r="J182" s="525" t="s">
        <v>339</v>
      </c>
      <c r="K182" s="525"/>
      <c r="L182" s="200"/>
      <c r="M182" s="200"/>
      <c r="N182" s="528" t="s">
        <v>340</v>
      </c>
      <c r="O182" s="528"/>
      <c r="P182" s="200"/>
      <c r="Q182" s="200"/>
      <c r="R182" s="528" t="s">
        <v>293</v>
      </c>
      <c r="S182" s="528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24"/>
      <c r="AG182" s="210"/>
      <c r="AH182" s="210"/>
    </row>
    <row r="183" spans="1:38" s="197" customFormat="1">
      <c r="A183" s="526" t="s">
        <v>350</v>
      </c>
      <c r="B183" s="526"/>
      <c r="C183" s="526"/>
      <c r="D183" s="526"/>
      <c r="E183" s="526"/>
      <c r="F183" s="526"/>
      <c r="G183" s="533">
        <f>G175</f>
        <v>42</v>
      </c>
      <c r="H183" s="533"/>
      <c r="I183" s="200" t="s">
        <v>196</v>
      </c>
      <c r="J183" s="532">
        <f>1.2+0.15</f>
        <v>1.35</v>
      </c>
      <c r="K183" s="532"/>
      <c r="L183" s="526" t="s">
        <v>196</v>
      </c>
      <c r="M183" s="526"/>
      <c r="N183" s="531">
        <v>1</v>
      </c>
      <c r="O183" s="531"/>
      <c r="P183" s="526" t="s">
        <v>197</v>
      </c>
      <c r="Q183" s="526"/>
      <c r="R183" s="527">
        <f>G183*J183*N183</f>
        <v>56.7</v>
      </c>
      <c r="S183" s="527"/>
      <c r="T183" s="225" t="s">
        <v>85</v>
      </c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/>
      <c r="AF183" s="224"/>
      <c r="AG183" s="210"/>
      <c r="AH183" s="210"/>
    </row>
    <row r="184" spans="1:38" s="197" customFormat="1">
      <c r="A184" s="200" t="s">
        <v>341</v>
      </c>
      <c r="B184" s="200"/>
      <c r="C184" s="200"/>
      <c r="D184" s="200"/>
      <c r="E184" s="200"/>
      <c r="F184" s="200"/>
      <c r="G184" s="531">
        <v>1.5</v>
      </c>
      <c r="H184" s="531"/>
      <c r="I184" s="200" t="s">
        <v>196</v>
      </c>
      <c r="J184" s="532">
        <v>1.5</v>
      </c>
      <c r="K184" s="532"/>
      <c r="L184" s="526" t="s">
        <v>196</v>
      </c>
      <c r="M184" s="526"/>
      <c r="N184" s="531">
        <f>R176*2</f>
        <v>8</v>
      </c>
      <c r="O184" s="531"/>
      <c r="P184" s="526" t="s">
        <v>197</v>
      </c>
      <c r="Q184" s="526"/>
      <c r="R184" s="527">
        <f t="shared" ref="R184" si="5">G184*J184*N184</f>
        <v>18</v>
      </c>
      <c r="S184" s="527"/>
      <c r="T184" s="225" t="s">
        <v>85</v>
      </c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24"/>
      <c r="AG184" s="210"/>
      <c r="AH184" s="210"/>
    </row>
    <row r="185" spans="1:38" s="197" customFormat="1">
      <c r="A185" s="200"/>
      <c r="B185" s="200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199"/>
      <c r="O185" s="199"/>
      <c r="P185" s="200"/>
      <c r="Q185" s="200"/>
      <c r="R185" s="200"/>
      <c r="S185" s="199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24"/>
      <c r="AK185" s="210"/>
      <c r="AL185" s="210"/>
    </row>
    <row r="186" spans="1:38" s="197" customFormat="1">
      <c r="A186" s="200" t="s">
        <v>191</v>
      </c>
      <c r="B186" s="200"/>
      <c r="C186" s="531">
        <f>SUM(R183:S184)</f>
        <v>74.7</v>
      </c>
      <c r="D186" s="533"/>
      <c r="E186" s="200" t="s">
        <v>85</v>
      </c>
      <c r="F186" s="200"/>
      <c r="G186" s="200"/>
      <c r="H186" s="200"/>
      <c r="I186" s="200"/>
      <c r="J186" s="200"/>
      <c r="K186" s="200"/>
      <c r="L186" s="200"/>
      <c r="M186" s="200"/>
      <c r="N186" s="199"/>
      <c r="O186" s="199"/>
      <c r="P186" s="200"/>
      <c r="Q186" s="200"/>
      <c r="R186" s="200"/>
      <c r="S186" s="199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24"/>
      <c r="AK186" s="210"/>
      <c r="AL186" s="210"/>
    </row>
    <row r="187" spans="1:38" s="197" customFormat="1">
      <c r="A187" s="200"/>
      <c r="B187" s="200"/>
      <c r="C187" s="200"/>
      <c r="D187" s="200"/>
      <c r="E187" s="200"/>
      <c r="F187" s="200"/>
      <c r="G187" s="200"/>
      <c r="H187" s="200"/>
      <c r="I187" s="200"/>
      <c r="J187" s="200"/>
      <c r="K187" s="200"/>
      <c r="L187" s="200"/>
      <c r="M187" s="200"/>
      <c r="N187" s="199"/>
      <c r="O187" s="199"/>
      <c r="P187" s="200"/>
      <c r="Q187" s="200"/>
      <c r="R187" s="200"/>
      <c r="S187" s="199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24"/>
      <c r="AK187" s="210"/>
      <c r="AL187" s="210"/>
    </row>
    <row r="188" spans="1:38" s="197" customFormat="1" ht="15">
      <c r="A188" s="534" t="s">
        <v>354</v>
      </c>
      <c r="B188" s="534"/>
      <c r="C188" s="534"/>
      <c r="D188" s="534"/>
      <c r="E188" s="534"/>
      <c r="F188" s="534"/>
      <c r="G188" s="534"/>
      <c r="H188" s="534"/>
      <c r="I188" s="534"/>
      <c r="J188" s="534"/>
      <c r="K188" s="534"/>
      <c r="L188" s="534"/>
      <c r="M188" s="534"/>
      <c r="N188" s="534"/>
      <c r="O188" s="534"/>
      <c r="P188" s="534"/>
      <c r="Q188" s="534"/>
      <c r="R188" s="534"/>
      <c r="S188" s="534"/>
      <c r="T188" s="534"/>
      <c r="U188" s="534"/>
      <c r="V188" s="534"/>
      <c r="W188" s="534"/>
      <c r="X188" s="534"/>
      <c r="Y188" s="534"/>
      <c r="Z188" s="534"/>
      <c r="AA188" s="534"/>
      <c r="AB188" s="534"/>
      <c r="AC188" s="534"/>
      <c r="AD188" s="534"/>
      <c r="AE188" s="534"/>
      <c r="AF188" s="534"/>
      <c r="AG188" s="534"/>
      <c r="AH188" s="534"/>
      <c r="AI188" s="534"/>
      <c r="AJ188" s="224"/>
      <c r="AK188" s="210"/>
      <c r="AL188" s="210"/>
    </row>
    <row r="189" spans="1:38" s="197" customFormat="1">
      <c r="A189" s="200"/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199"/>
      <c r="O189" s="199"/>
      <c r="P189" s="200"/>
      <c r="Q189" s="200"/>
      <c r="R189" s="200"/>
      <c r="S189" s="199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24"/>
      <c r="AK189" s="210"/>
      <c r="AL189" s="210"/>
    </row>
    <row r="190" spans="1:38" s="197" customFormat="1">
      <c r="A190" s="526" t="s">
        <v>417</v>
      </c>
      <c r="B190" s="526"/>
      <c r="C190" s="526"/>
      <c r="D190" s="526"/>
      <c r="E190" s="526"/>
      <c r="F190" s="526"/>
      <c r="G190" s="526"/>
      <c r="H190" s="526"/>
      <c r="I190" s="526"/>
      <c r="J190" s="526"/>
      <c r="K190" s="526"/>
      <c r="L190" s="526"/>
      <c r="M190" s="526"/>
      <c r="N190" s="526"/>
      <c r="O190" s="526"/>
      <c r="P190" s="526"/>
      <c r="Q190" s="526"/>
      <c r="R190" s="526"/>
      <c r="S190" s="526"/>
      <c r="T190" s="526"/>
      <c r="U190" s="526"/>
      <c r="V190" s="526"/>
      <c r="W190" s="526"/>
      <c r="X190" s="526"/>
      <c r="Y190" s="526"/>
      <c r="Z190" s="526"/>
      <c r="AA190" s="526"/>
      <c r="AB190" s="526"/>
      <c r="AC190" s="526"/>
      <c r="AD190" s="526"/>
      <c r="AE190" s="526"/>
      <c r="AF190" s="526"/>
      <c r="AG190" s="526"/>
      <c r="AH190" s="526"/>
      <c r="AI190" s="526"/>
      <c r="AJ190" s="224"/>
      <c r="AK190" s="210"/>
      <c r="AL190" s="210"/>
    </row>
    <row r="191" spans="1:38" s="197" customFormat="1">
      <c r="A191" s="200"/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199"/>
      <c r="O191" s="199"/>
      <c r="P191" s="200"/>
      <c r="Q191" s="200"/>
      <c r="R191" s="200"/>
      <c r="S191" s="199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24"/>
      <c r="AK191" s="210"/>
      <c r="AL191" s="210"/>
    </row>
    <row r="192" spans="1:38" s="197" customFormat="1">
      <c r="A192" s="200"/>
      <c r="B192" s="200"/>
      <c r="C192" s="200"/>
      <c r="D192" s="200"/>
      <c r="E192" s="200"/>
      <c r="F192" s="200"/>
      <c r="G192" s="528" t="s">
        <v>81</v>
      </c>
      <c r="H192" s="528"/>
      <c r="I192" s="200"/>
      <c r="J192" s="528" t="s">
        <v>338</v>
      </c>
      <c r="K192" s="528"/>
      <c r="L192" s="200"/>
      <c r="M192" s="200"/>
      <c r="N192" s="525" t="s">
        <v>339</v>
      </c>
      <c r="O192" s="525"/>
      <c r="P192" s="200"/>
      <c r="Q192" s="200"/>
      <c r="R192" s="528" t="s">
        <v>340</v>
      </c>
      <c r="S192" s="528"/>
      <c r="T192" s="200"/>
      <c r="U192" s="200"/>
      <c r="V192" s="528" t="s">
        <v>293</v>
      </c>
      <c r="W192" s="528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24"/>
      <c r="AK192" s="210"/>
      <c r="AL192" s="210"/>
    </row>
    <row r="193" spans="1:41" s="197" customFormat="1">
      <c r="A193" s="526" t="s">
        <v>350</v>
      </c>
      <c r="B193" s="526"/>
      <c r="C193" s="526"/>
      <c r="D193" s="526"/>
      <c r="E193" s="526"/>
      <c r="F193" s="526"/>
      <c r="G193" s="533">
        <f>G183</f>
        <v>42</v>
      </c>
      <c r="H193" s="533"/>
      <c r="I193" s="200" t="s">
        <v>196</v>
      </c>
      <c r="J193" s="531">
        <v>1.5</v>
      </c>
      <c r="K193" s="531"/>
      <c r="L193" s="526" t="s">
        <v>196</v>
      </c>
      <c r="M193" s="526"/>
      <c r="N193" s="532">
        <v>0.15</v>
      </c>
      <c r="O193" s="532"/>
      <c r="P193" s="526" t="s">
        <v>196</v>
      </c>
      <c r="Q193" s="526"/>
      <c r="R193" s="531">
        <v>1</v>
      </c>
      <c r="S193" s="531"/>
      <c r="T193" s="526" t="s">
        <v>197</v>
      </c>
      <c r="U193" s="526"/>
      <c r="V193" s="527">
        <f>G193*J193*N193*R193</f>
        <v>9.4499999999999993</v>
      </c>
      <c r="W193" s="527"/>
      <c r="X193" s="225" t="s">
        <v>58</v>
      </c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24"/>
      <c r="AK193" s="210"/>
      <c r="AL193" s="210"/>
    </row>
    <row r="194" spans="1:41" s="197" customFormat="1">
      <c r="A194" s="215"/>
      <c r="B194" s="215"/>
      <c r="C194" s="215"/>
      <c r="D194" s="215"/>
      <c r="E194" s="215"/>
      <c r="F194" s="215"/>
      <c r="G194" s="205"/>
      <c r="H194" s="205"/>
      <c r="I194" s="200"/>
      <c r="J194" s="216"/>
      <c r="K194" s="216"/>
      <c r="L194" s="215"/>
      <c r="M194" s="215"/>
      <c r="N194" s="204"/>
      <c r="O194" s="204"/>
      <c r="P194" s="215"/>
      <c r="Q194" s="215"/>
      <c r="R194" s="216"/>
      <c r="S194" s="216"/>
      <c r="T194" s="215"/>
      <c r="U194" s="215"/>
      <c r="V194" s="219"/>
      <c r="W194" s="219"/>
      <c r="X194" s="225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24"/>
      <c r="AK194" s="210"/>
      <c r="AL194" s="210"/>
    </row>
    <row r="195" spans="1:41" s="197" customFormat="1">
      <c r="A195" s="200" t="s">
        <v>191</v>
      </c>
      <c r="B195" s="200"/>
      <c r="C195" s="531">
        <f>SUM(V193:W193)</f>
        <v>9.4499999999999993</v>
      </c>
      <c r="D195" s="533"/>
      <c r="E195" s="200" t="s">
        <v>58</v>
      </c>
      <c r="F195" s="200"/>
      <c r="G195" s="200"/>
      <c r="H195" s="200"/>
      <c r="I195" s="200"/>
      <c r="J195" s="200"/>
      <c r="K195" s="200"/>
      <c r="L195" s="200"/>
      <c r="M195" s="200"/>
      <c r="N195" s="199"/>
      <c r="O195" s="199"/>
      <c r="P195" s="200"/>
      <c r="Q195" s="200"/>
      <c r="R195" s="200"/>
      <c r="S195" s="199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24"/>
      <c r="AK195" s="210"/>
      <c r="AL195" s="210"/>
    </row>
    <row r="196" spans="1:41" s="197" customFormat="1">
      <c r="A196" s="200"/>
      <c r="B196" s="200"/>
      <c r="C196" s="200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199"/>
      <c r="O196" s="199"/>
      <c r="P196" s="200"/>
      <c r="Q196" s="200"/>
      <c r="R196" s="200"/>
      <c r="S196" s="199"/>
      <c r="T196" s="200"/>
      <c r="U196" s="200"/>
      <c r="V196" s="200"/>
      <c r="W196" s="200"/>
      <c r="X196" s="200"/>
      <c r="Y196" s="200"/>
      <c r="Z196" s="200"/>
      <c r="AA196" s="200"/>
      <c r="AB196" s="200"/>
      <c r="AC196" s="200"/>
      <c r="AD196" s="200"/>
      <c r="AE196" s="200"/>
      <c r="AF196" s="200"/>
      <c r="AG196" s="200"/>
      <c r="AH196" s="200"/>
      <c r="AI196" s="200"/>
      <c r="AJ196" s="224"/>
      <c r="AK196" s="210"/>
      <c r="AL196" s="210"/>
    </row>
    <row r="197" spans="1:41" s="197" customFormat="1" ht="29.25" customHeight="1">
      <c r="A197" s="529" t="s">
        <v>414</v>
      </c>
      <c r="B197" s="529"/>
      <c r="C197" s="529"/>
      <c r="D197" s="529"/>
      <c r="E197" s="529"/>
      <c r="F197" s="529"/>
      <c r="G197" s="529"/>
      <c r="H197" s="529"/>
      <c r="I197" s="529"/>
      <c r="J197" s="529"/>
      <c r="K197" s="529"/>
      <c r="L197" s="529"/>
      <c r="M197" s="529"/>
      <c r="N197" s="529"/>
      <c r="O197" s="529"/>
      <c r="P197" s="529"/>
      <c r="Q197" s="529"/>
      <c r="R197" s="529"/>
      <c r="S197" s="529"/>
      <c r="T197" s="529"/>
      <c r="U197" s="529"/>
      <c r="V197" s="529"/>
      <c r="W197" s="529"/>
      <c r="X197" s="529"/>
      <c r="Y197" s="529"/>
      <c r="Z197" s="529"/>
      <c r="AA197" s="529"/>
      <c r="AB197" s="529"/>
      <c r="AC197" s="529"/>
      <c r="AD197" s="529"/>
      <c r="AE197" s="529"/>
      <c r="AF197" s="529"/>
      <c r="AG197" s="529"/>
      <c r="AH197" s="529"/>
      <c r="AI197" s="529"/>
      <c r="AJ197" s="224"/>
      <c r="AK197" s="210"/>
      <c r="AL197" s="210"/>
    </row>
    <row r="198" spans="1:41" s="197" customFormat="1">
      <c r="A198" s="200"/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  <c r="L198" s="200"/>
      <c r="M198" s="200"/>
      <c r="N198" s="199"/>
      <c r="O198" s="199"/>
      <c r="P198" s="200"/>
      <c r="Q198" s="200"/>
      <c r="R198" s="200"/>
      <c r="S198" s="199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00"/>
      <c r="AE198" s="200"/>
      <c r="AF198" s="200"/>
      <c r="AG198" s="200"/>
      <c r="AH198" s="200"/>
      <c r="AI198" s="200"/>
      <c r="AJ198" s="224"/>
      <c r="AK198" s="210"/>
      <c r="AL198" s="210"/>
    </row>
    <row r="199" spans="1:41" s="197" customFormat="1">
      <c r="A199" s="530" t="s">
        <v>330</v>
      </c>
      <c r="B199" s="530"/>
      <c r="C199" s="530"/>
      <c r="D199" s="530"/>
      <c r="E199" s="530"/>
      <c r="F199" s="530"/>
      <c r="G199" s="530"/>
      <c r="H199" s="530"/>
      <c r="I199" s="530"/>
      <c r="J199" s="530"/>
      <c r="K199" s="530"/>
      <c r="L199" s="530"/>
      <c r="M199" s="530"/>
      <c r="N199" s="530"/>
      <c r="O199" s="530"/>
      <c r="P199" s="530"/>
      <c r="Q199" s="530"/>
      <c r="R199" s="530"/>
      <c r="S199" s="530"/>
      <c r="T199" s="530"/>
      <c r="U199" s="530"/>
      <c r="V199" s="530"/>
      <c r="W199" s="530"/>
      <c r="X199" s="530"/>
      <c r="Y199" s="530"/>
      <c r="Z199" s="530"/>
      <c r="AA199" s="530"/>
      <c r="AB199" s="530"/>
      <c r="AC199" s="530"/>
      <c r="AD199" s="530"/>
      <c r="AE199" s="530"/>
      <c r="AF199" s="530"/>
      <c r="AG199" s="530"/>
      <c r="AH199" s="530"/>
      <c r="AI199" s="530"/>
      <c r="AJ199" s="224"/>
      <c r="AK199" s="210"/>
      <c r="AL199" s="210"/>
    </row>
    <row r="200" spans="1:41" s="197" customFormat="1">
      <c r="A200" s="200"/>
      <c r="B200" s="200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199"/>
      <c r="O200" s="199"/>
      <c r="P200" s="200"/>
      <c r="Q200" s="200"/>
      <c r="R200" s="200"/>
      <c r="S200" s="199"/>
      <c r="T200" s="200"/>
      <c r="U200" s="200"/>
      <c r="V200" s="200"/>
      <c r="W200" s="200"/>
      <c r="X200" s="200"/>
      <c r="Y200" s="200"/>
      <c r="Z200" s="200"/>
      <c r="AA200" s="200"/>
      <c r="AB200" s="200"/>
      <c r="AC200" s="200"/>
      <c r="AD200" s="200"/>
      <c r="AE200" s="200"/>
      <c r="AF200" s="200"/>
      <c r="AG200" s="200"/>
      <c r="AH200" s="200"/>
      <c r="AI200" s="200"/>
      <c r="AJ200" s="226"/>
      <c r="AK200" s="210"/>
      <c r="AL200" s="210"/>
    </row>
    <row r="201" spans="1:41" s="197" customFormat="1">
      <c r="A201" s="526" t="s">
        <v>350</v>
      </c>
      <c r="B201" s="526"/>
      <c r="C201" s="526"/>
      <c r="D201" s="526"/>
      <c r="E201" s="526"/>
      <c r="F201" s="526"/>
      <c r="G201" s="531">
        <f>G193</f>
        <v>42</v>
      </c>
      <c r="H201" s="531"/>
      <c r="I201" s="200" t="s">
        <v>148</v>
      </c>
      <c r="J201" s="225"/>
      <c r="K201" s="225"/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  <c r="X201" s="200"/>
      <c r="Y201" s="200"/>
      <c r="Z201" s="200"/>
      <c r="AA201" s="200"/>
      <c r="AB201" s="200"/>
      <c r="AC201" s="200"/>
      <c r="AD201" s="200"/>
      <c r="AE201" s="200"/>
      <c r="AF201" s="200"/>
      <c r="AG201" s="200"/>
      <c r="AH201" s="200"/>
      <c r="AI201" s="200"/>
      <c r="AJ201" s="224"/>
      <c r="AK201" s="210"/>
      <c r="AL201" s="210"/>
    </row>
    <row r="202" spans="1:41" s="197" customFormat="1">
      <c r="A202" s="215"/>
      <c r="B202" s="215"/>
      <c r="C202" s="215"/>
      <c r="D202" s="215"/>
      <c r="E202" s="215"/>
      <c r="F202" s="215"/>
      <c r="G202" s="205"/>
      <c r="H202" s="205"/>
      <c r="I202" s="200"/>
      <c r="J202" s="216"/>
      <c r="K202" s="216"/>
      <c r="L202" s="214"/>
      <c r="M202" s="214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24"/>
      <c r="AK202" s="210"/>
      <c r="AL202" s="210"/>
    </row>
    <row r="203" spans="1:41" s="197" customFormat="1">
      <c r="A203" s="526" t="s">
        <v>191</v>
      </c>
      <c r="B203" s="526"/>
      <c r="C203" s="531">
        <f>SUM(G201:H201)</f>
        <v>42</v>
      </c>
      <c r="D203" s="531"/>
      <c r="E203" s="215" t="s">
        <v>148</v>
      </c>
      <c r="F203" s="215"/>
      <c r="G203" s="205"/>
      <c r="H203" s="205"/>
      <c r="I203" s="200"/>
      <c r="J203" s="216"/>
      <c r="K203" s="216"/>
      <c r="L203" s="214"/>
      <c r="M203" s="214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24"/>
      <c r="AK203" s="210"/>
      <c r="AL203" s="210"/>
    </row>
    <row r="204" spans="1:41" s="197" customFormat="1">
      <c r="A204" s="215"/>
      <c r="B204" s="215"/>
      <c r="C204" s="215"/>
      <c r="D204" s="215"/>
      <c r="E204" s="215"/>
      <c r="F204" s="215"/>
      <c r="G204" s="205"/>
      <c r="H204" s="205"/>
      <c r="I204" s="200"/>
      <c r="J204" s="216"/>
      <c r="K204" s="216"/>
      <c r="L204" s="214"/>
      <c r="M204" s="214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24"/>
      <c r="AK204" s="210"/>
      <c r="AL204" s="210"/>
    </row>
    <row r="205" spans="1:41" s="197" customFormat="1" ht="15">
      <c r="A205" s="534" t="s">
        <v>415</v>
      </c>
      <c r="B205" s="534"/>
      <c r="C205" s="534"/>
      <c r="D205" s="534"/>
      <c r="E205" s="534"/>
      <c r="F205" s="534"/>
      <c r="G205" s="534"/>
      <c r="H205" s="534"/>
      <c r="I205" s="534"/>
      <c r="J205" s="534"/>
      <c r="K205" s="534"/>
      <c r="L205" s="534"/>
      <c r="M205" s="534"/>
      <c r="N205" s="534"/>
      <c r="O205" s="534"/>
      <c r="P205" s="534"/>
      <c r="Q205" s="534"/>
      <c r="R205" s="534"/>
      <c r="S205" s="534"/>
      <c r="T205" s="534"/>
      <c r="U205" s="534"/>
      <c r="V205" s="534"/>
      <c r="W205" s="534"/>
      <c r="X205" s="534"/>
      <c r="Y205" s="534"/>
      <c r="Z205" s="534"/>
      <c r="AA205" s="534"/>
      <c r="AB205" s="534"/>
      <c r="AC205" s="534"/>
      <c r="AD205" s="534"/>
      <c r="AE205" s="534"/>
      <c r="AF205" s="534"/>
      <c r="AG205" s="534"/>
      <c r="AH205" s="534"/>
      <c r="AI205" s="534"/>
      <c r="AJ205" s="224"/>
      <c r="AK205" s="210"/>
      <c r="AL205" s="210"/>
    </row>
    <row r="206" spans="1:41" s="197" customFormat="1" ht="15" customHeight="1">
      <c r="A206" s="200"/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199"/>
      <c r="O206" s="199"/>
      <c r="P206" s="200"/>
      <c r="Q206" s="200"/>
      <c r="R206" s="200"/>
      <c r="S206" s="199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24"/>
      <c r="AK206" s="210"/>
      <c r="AL206" s="210"/>
    </row>
    <row r="207" spans="1:41" s="197" customFormat="1">
      <c r="A207" s="535" t="s">
        <v>342</v>
      </c>
      <c r="B207" s="535"/>
      <c r="C207" s="535"/>
      <c r="D207" s="535"/>
      <c r="E207" s="535"/>
      <c r="F207" s="535"/>
      <c r="G207" s="535"/>
      <c r="H207" s="535"/>
      <c r="I207" s="535"/>
      <c r="J207" s="535"/>
      <c r="K207" s="535"/>
      <c r="L207" s="535"/>
      <c r="M207" s="535"/>
      <c r="N207" s="535"/>
      <c r="O207" s="535"/>
      <c r="P207" s="535"/>
      <c r="Q207" s="535"/>
      <c r="R207" s="535"/>
      <c r="S207" s="535"/>
      <c r="T207" s="535"/>
      <c r="U207" s="535"/>
      <c r="V207" s="535"/>
      <c r="W207" s="535"/>
      <c r="X207" s="535"/>
      <c r="Y207" s="535"/>
      <c r="Z207" s="535"/>
      <c r="AA207" s="535"/>
      <c r="AB207" s="535"/>
      <c r="AC207" s="535"/>
      <c r="AD207" s="535"/>
      <c r="AE207" s="535"/>
      <c r="AF207" s="535"/>
      <c r="AG207" s="535"/>
      <c r="AH207" s="535"/>
      <c r="AI207" s="535"/>
      <c r="AJ207" s="224"/>
      <c r="AK207" s="210"/>
      <c r="AL207" s="210"/>
      <c r="AM207" s="227"/>
      <c r="AN207" s="228"/>
      <c r="AO207" s="228"/>
    </row>
    <row r="208" spans="1:41" s="197" customFormat="1">
      <c r="A208" s="200"/>
      <c r="B208" s="200"/>
      <c r="C208" s="200"/>
      <c r="D208" s="200"/>
      <c r="E208" s="200"/>
      <c r="F208" s="200"/>
      <c r="G208" s="200"/>
      <c r="H208" s="200"/>
      <c r="I208" s="200"/>
      <c r="J208" s="200"/>
      <c r="K208" s="200"/>
      <c r="L208" s="200"/>
      <c r="M208" s="200"/>
      <c r="N208" s="199"/>
      <c r="O208" s="199"/>
      <c r="P208" s="200"/>
      <c r="Q208" s="200"/>
      <c r="R208" s="200"/>
      <c r="S208" s="199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/>
      <c r="AF208" s="200"/>
      <c r="AG208" s="200"/>
      <c r="AH208" s="200"/>
      <c r="AI208" s="200"/>
      <c r="AJ208" s="224"/>
      <c r="AK208" s="210"/>
      <c r="AL208" s="210"/>
    </row>
    <row r="209" spans="1:38" s="197" customFormat="1">
      <c r="A209" s="526" t="s">
        <v>343</v>
      </c>
      <c r="B209" s="526"/>
      <c r="C209" s="526"/>
      <c r="D209" s="526"/>
      <c r="E209" s="526"/>
      <c r="F209" s="526"/>
      <c r="G209" s="536">
        <f>C178</f>
        <v>97.2</v>
      </c>
      <c r="H209" s="537"/>
      <c r="I209" s="200" t="s">
        <v>58</v>
      </c>
      <c r="J209" s="200"/>
      <c r="K209" s="200"/>
      <c r="L209" s="200"/>
      <c r="M209" s="200"/>
      <c r="N209" s="199"/>
      <c r="O209" s="199"/>
      <c r="P209" s="200"/>
      <c r="Q209" s="200"/>
      <c r="R209" s="200"/>
      <c r="S209" s="199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24"/>
      <c r="AK209" s="210"/>
      <c r="AL209" s="210"/>
    </row>
    <row r="210" spans="1:38" s="197" customFormat="1">
      <c r="A210" s="200"/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199"/>
      <c r="O210" s="199"/>
      <c r="P210" s="200"/>
      <c r="Q210" s="200"/>
      <c r="R210" s="200"/>
      <c r="S210" s="199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24"/>
      <c r="AK210" s="210"/>
      <c r="AL210" s="210"/>
    </row>
    <row r="211" spans="1:38" s="197" customFormat="1">
      <c r="A211" s="200" t="s">
        <v>199</v>
      </c>
      <c r="B211" s="200"/>
      <c r="C211" s="200"/>
      <c r="D211" s="200"/>
      <c r="E211" s="200"/>
      <c r="F211" s="200"/>
      <c r="G211" s="200"/>
      <c r="H211" s="200"/>
      <c r="I211" s="200"/>
      <c r="J211" s="200"/>
      <c r="K211" s="200"/>
      <c r="L211" s="200"/>
      <c r="M211" s="200"/>
      <c r="N211" s="199"/>
      <c r="O211" s="199"/>
      <c r="P211" s="200"/>
      <c r="Q211" s="200"/>
      <c r="R211" s="200"/>
      <c r="S211" s="199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24"/>
      <c r="AK211" s="210"/>
      <c r="AL211" s="210"/>
    </row>
    <row r="212" spans="1:38" s="197" customFormat="1">
      <c r="A212" s="200"/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199"/>
      <c r="O212" s="199"/>
      <c r="P212" s="200"/>
      <c r="Q212" s="200"/>
      <c r="R212" s="200"/>
      <c r="S212" s="199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24"/>
      <c r="AK212" s="210"/>
      <c r="AL212" s="210"/>
    </row>
    <row r="213" spans="1:38" s="197" customFormat="1">
      <c r="A213" s="526" t="s">
        <v>344</v>
      </c>
      <c r="B213" s="526"/>
      <c r="C213" s="526"/>
      <c r="D213" s="526"/>
      <c r="E213" s="526"/>
      <c r="F213" s="526"/>
      <c r="G213" s="531">
        <f>C195</f>
        <v>9.4499999999999993</v>
      </c>
      <c r="H213" s="533"/>
      <c r="I213" s="200" t="s">
        <v>58</v>
      </c>
      <c r="J213" s="200"/>
      <c r="K213" s="200"/>
      <c r="L213" s="200"/>
      <c r="M213" s="200"/>
      <c r="N213" s="199"/>
      <c r="O213" s="199"/>
      <c r="P213" s="200"/>
      <c r="Q213" s="200"/>
      <c r="R213" s="200"/>
      <c r="S213" s="199"/>
      <c r="T213" s="200"/>
      <c r="U213" s="200"/>
      <c r="V213" s="200"/>
      <c r="W213" s="200"/>
      <c r="X213" s="200"/>
      <c r="Y213" s="200"/>
      <c r="Z213" s="200"/>
      <c r="AA213" s="200"/>
      <c r="AB213" s="200"/>
      <c r="AC213" s="200"/>
      <c r="AD213" s="200"/>
      <c r="AE213" s="200"/>
      <c r="AF213" s="200"/>
      <c r="AG213" s="200"/>
      <c r="AH213" s="200"/>
      <c r="AI213" s="200"/>
      <c r="AJ213" s="224"/>
      <c r="AK213" s="210"/>
      <c r="AL213" s="210"/>
    </row>
    <row r="214" spans="1:38" s="197" customFormat="1">
      <c r="A214" s="200"/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199"/>
      <c r="O214" s="199"/>
      <c r="P214" s="200"/>
      <c r="Q214" s="200"/>
      <c r="R214" s="200"/>
      <c r="S214" s="199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24"/>
      <c r="AK214" s="210"/>
      <c r="AL214" s="210"/>
    </row>
    <row r="215" spans="1:38" s="197" customFormat="1">
      <c r="A215" s="526" t="s">
        <v>345</v>
      </c>
      <c r="B215" s="526"/>
      <c r="C215" s="526"/>
      <c r="D215" s="526"/>
      <c r="E215" s="526"/>
      <c r="F215" s="526"/>
      <c r="G215" s="528" t="s">
        <v>81</v>
      </c>
      <c r="H215" s="528"/>
      <c r="I215" s="200"/>
      <c r="J215" s="528" t="s">
        <v>346</v>
      </c>
      <c r="K215" s="528"/>
      <c r="L215" s="200"/>
      <c r="M215" s="200"/>
      <c r="N215" s="199" t="s">
        <v>293</v>
      </c>
      <c r="O215" s="199"/>
      <c r="P215" s="200"/>
      <c r="Q215" s="200"/>
      <c r="R215" s="200"/>
      <c r="S215" s="199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00"/>
      <c r="AF215" s="200"/>
      <c r="AG215" s="200"/>
      <c r="AH215" s="200"/>
      <c r="AI215" s="200"/>
      <c r="AJ215" s="224"/>
      <c r="AK215" s="210"/>
      <c r="AL215" s="210"/>
    </row>
    <row r="216" spans="1:38" s="197" customFormat="1">
      <c r="A216" s="526" t="s">
        <v>350</v>
      </c>
      <c r="B216" s="526"/>
      <c r="C216" s="526"/>
      <c r="D216" s="526"/>
      <c r="E216" s="526"/>
      <c r="F216" s="526"/>
      <c r="G216" s="533">
        <f>G193</f>
        <v>42</v>
      </c>
      <c r="H216" s="533"/>
      <c r="I216" s="200" t="s">
        <v>196</v>
      </c>
      <c r="J216" s="531">
        <v>0.17</v>
      </c>
      <c r="K216" s="531"/>
      <c r="L216" s="526" t="s">
        <v>206</v>
      </c>
      <c r="M216" s="526"/>
      <c r="N216" s="525">
        <f>G216*J216</f>
        <v>7.14</v>
      </c>
      <c r="O216" s="525"/>
      <c r="P216" s="199" t="s">
        <v>58</v>
      </c>
      <c r="Q216" s="200"/>
      <c r="R216" s="200"/>
      <c r="S216" s="199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24"/>
      <c r="AK216" s="210"/>
      <c r="AL216" s="210"/>
    </row>
    <row r="217" spans="1:38" s="197" customFormat="1">
      <c r="A217" s="200"/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0"/>
      <c r="N217" s="199"/>
      <c r="O217" s="199"/>
      <c r="P217" s="200"/>
      <c r="Q217" s="200"/>
      <c r="R217" s="200"/>
      <c r="S217" s="199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24"/>
      <c r="AK217" s="210"/>
      <c r="AL217" s="210"/>
    </row>
    <row r="218" spans="1:38" s="197" customFormat="1">
      <c r="A218" s="526"/>
      <c r="B218" s="526"/>
      <c r="C218" s="526"/>
      <c r="D218" s="526"/>
      <c r="E218" s="526"/>
      <c r="F218" s="526"/>
      <c r="G218" s="528" t="s">
        <v>81</v>
      </c>
      <c r="H218" s="528"/>
      <c r="I218" s="200"/>
      <c r="J218" s="528" t="s">
        <v>338</v>
      </c>
      <c r="K218" s="528"/>
      <c r="L218" s="200"/>
      <c r="N218" s="528" t="s">
        <v>348</v>
      </c>
      <c r="O218" s="528"/>
      <c r="P218" s="199"/>
      <c r="Q218" s="200"/>
      <c r="R218" s="528" t="s">
        <v>340</v>
      </c>
      <c r="S218" s="528"/>
      <c r="T218" s="199"/>
      <c r="U218" s="200"/>
      <c r="V218" s="200" t="s">
        <v>293</v>
      </c>
      <c r="W218" s="200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24"/>
      <c r="AK218" s="210"/>
      <c r="AL218" s="210"/>
    </row>
    <row r="219" spans="1:38" s="197" customFormat="1">
      <c r="A219" s="526" t="s">
        <v>341</v>
      </c>
      <c r="B219" s="526"/>
      <c r="C219" s="526"/>
      <c r="D219" s="526"/>
      <c r="E219" s="526"/>
      <c r="F219" s="526"/>
      <c r="G219" s="531">
        <v>1.5</v>
      </c>
      <c r="H219" s="531"/>
      <c r="I219" s="200" t="s">
        <v>196</v>
      </c>
      <c r="J219" s="531">
        <v>1.5</v>
      </c>
      <c r="K219" s="531"/>
      <c r="L219" s="526" t="s">
        <v>196</v>
      </c>
      <c r="M219" s="526"/>
      <c r="N219" s="532">
        <v>1.23</v>
      </c>
      <c r="O219" s="532"/>
      <c r="P219" s="528" t="s">
        <v>196</v>
      </c>
      <c r="Q219" s="528"/>
      <c r="R219" s="531">
        <f>B229</f>
        <v>4</v>
      </c>
      <c r="S219" s="531"/>
      <c r="T219" s="526" t="s">
        <v>197</v>
      </c>
      <c r="U219" s="526"/>
      <c r="V219" s="527">
        <f>G219*J219*N219*R219</f>
        <v>11.07</v>
      </c>
      <c r="W219" s="527"/>
      <c r="X219" s="200" t="s">
        <v>58</v>
      </c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24"/>
      <c r="AK219" s="210"/>
      <c r="AL219" s="210"/>
    </row>
    <row r="220" spans="1:38" s="197" customFormat="1">
      <c r="A220" s="215"/>
      <c r="B220" s="215"/>
      <c r="C220" s="215"/>
      <c r="D220" s="215"/>
      <c r="E220" s="215"/>
      <c r="F220" s="215"/>
      <c r="G220" s="216"/>
      <c r="H220" s="216"/>
      <c r="I220" s="200"/>
      <c r="J220" s="216"/>
      <c r="K220" s="216"/>
      <c r="L220" s="215"/>
      <c r="M220" s="215"/>
      <c r="N220" s="204"/>
      <c r="O220" s="204"/>
      <c r="P220" s="214"/>
      <c r="Q220" s="214"/>
      <c r="R220" s="216"/>
      <c r="S220" s="216"/>
      <c r="T220" s="215"/>
      <c r="U220" s="215"/>
      <c r="V220" s="219"/>
      <c r="W220" s="219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24"/>
      <c r="AK220" s="210"/>
      <c r="AL220" s="210"/>
    </row>
    <row r="221" spans="1:38" s="197" customFormat="1">
      <c r="A221" s="215" t="s">
        <v>349</v>
      </c>
      <c r="B221" s="215"/>
      <c r="C221" s="215"/>
      <c r="D221" s="525">
        <f>N216+V219+G213</f>
        <v>27.66</v>
      </c>
      <c r="E221" s="528"/>
      <c r="F221" s="215" t="s">
        <v>58</v>
      </c>
      <c r="G221" s="216"/>
      <c r="H221" s="216"/>
      <c r="I221" s="200"/>
      <c r="J221" s="216"/>
      <c r="K221" s="216"/>
      <c r="L221" s="215"/>
      <c r="M221" s="215"/>
      <c r="N221" s="204"/>
      <c r="O221" s="204"/>
      <c r="P221" s="214"/>
      <c r="Q221" s="214"/>
      <c r="R221" s="216"/>
      <c r="S221" s="216"/>
      <c r="T221" s="215"/>
      <c r="U221" s="215"/>
      <c r="V221" s="219"/>
      <c r="W221" s="219"/>
      <c r="X221" s="200"/>
      <c r="Y221" s="200"/>
      <c r="Z221" s="200"/>
      <c r="AA221" s="200"/>
      <c r="AB221" s="200"/>
      <c r="AC221" s="200"/>
      <c r="AD221" s="200"/>
      <c r="AE221" s="200"/>
      <c r="AF221" s="200"/>
      <c r="AG221" s="200"/>
      <c r="AH221" s="200"/>
      <c r="AI221" s="200"/>
      <c r="AJ221" s="224"/>
      <c r="AK221" s="210"/>
      <c r="AL221" s="210"/>
    </row>
    <row r="222" spans="1:38" s="197" customFormat="1">
      <c r="A222" s="215"/>
      <c r="B222" s="215"/>
      <c r="C222" s="215"/>
      <c r="D222" s="215"/>
      <c r="E222" s="215"/>
      <c r="F222" s="215"/>
      <c r="G222" s="216"/>
      <c r="H222" s="216"/>
      <c r="I222" s="200"/>
      <c r="J222" s="216"/>
      <c r="K222" s="216"/>
      <c r="L222" s="215"/>
      <c r="M222" s="215"/>
      <c r="N222" s="204"/>
      <c r="O222" s="204"/>
      <c r="P222" s="214"/>
      <c r="Q222" s="214"/>
      <c r="R222" s="216"/>
      <c r="S222" s="216"/>
      <c r="T222" s="215"/>
      <c r="U222" s="215"/>
      <c r="V222" s="219"/>
      <c r="W222" s="219"/>
      <c r="X222" s="200"/>
      <c r="Y222" s="200"/>
      <c r="Z222" s="200"/>
      <c r="AA222" s="200"/>
      <c r="AB222" s="200"/>
      <c r="AC222" s="200"/>
      <c r="AD222" s="200"/>
      <c r="AE222" s="200"/>
      <c r="AF222" s="200"/>
      <c r="AG222" s="200"/>
      <c r="AH222" s="200"/>
      <c r="AI222" s="200"/>
      <c r="AJ222" s="224"/>
      <c r="AK222" s="210"/>
      <c r="AL222" s="210"/>
    </row>
    <row r="223" spans="1:38" s="197" customFormat="1" ht="16.5">
      <c r="A223" s="200" t="s">
        <v>179</v>
      </c>
      <c r="B223" s="527">
        <f>G209-D221</f>
        <v>69.540000000000006</v>
      </c>
      <c r="C223" s="527"/>
      <c r="D223" s="527"/>
      <c r="E223" s="200" t="s">
        <v>359</v>
      </c>
      <c r="F223" s="200"/>
      <c r="G223" s="200"/>
      <c r="H223" s="200"/>
      <c r="I223" s="200"/>
      <c r="J223" s="200"/>
      <c r="K223" s="200"/>
      <c r="L223" s="200"/>
      <c r="M223" s="200"/>
      <c r="N223" s="199"/>
      <c r="O223" s="199"/>
      <c r="P223" s="200"/>
      <c r="Q223" s="200"/>
      <c r="R223" s="200"/>
      <c r="S223" s="199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200"/>
      <c r="AE223" s="200"/>
      <c r="AF223" s="200"/>
      <c r="AG223" s="200"/>
      <c r="AH223" s="200"/>
      <c r="AI223" s="200"/>
      <c r="AJ223" s="224"/>
      <c r="AK223" s="210"/>
      <c r="AL223" s="210"/>
    </row>
    <row r="224" spans="1:38" s="197" customFormat="1">
      <c r="A224" s="200"/>
      <c r="B224" s="200"/>
      <c r="C224" s="200"/>
      <c r="D224" s="200"/>
      <c r="E224" s="200"/>
      <c r="F224" s="200"/>
      <c r="G224" s="200"/>
      <c r="H224" s="200"/>
      <c r="I224" s="200"/>
      <c r="J224" s="200"/>
      <c r="K224" s="200"/>
      <c r="L224" s="200"/>
      <c r="M224" s="200"/>
      <c r="N224" s="199"/>
      <c r="O224" s="199"/>
      <c r="P224" s="200"/>
      <c r="Q224" s="200"/>
      <c r="R224" s="200"/>
      <c r="S224" s="199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200"/>
      <c r="AE224" s="200"/>
      <c r="AF224" s="200"/>
      <c r="AG224" s="200"/>
      <c r="AH224" s="200"/>
      <c r="AI224" s="200"/>
      <c r="AJ224" s="224"/>
      <c r="AK224" s="210"/>
      <c r="AL224" s="210"/>
    </row>
    <row r="225" spans="1:38" s="197" customFormat="1" ht="30" customHeight="1">
      <c r="A225" s="529" t="s">
        <v>416</v>
      </c>
      <c r="B225" s="529"/>
      <c r="C225" s="529"/>
      <c r="D225" s="529"/>
      <c r="E225" s="529"/>
      <c r="F225" s="529"/>
      <c r="G225" s="529"/>
      <c r="H225" s="529"/>
      <c r="I225" s="529"/>
      <c r="J225" s="529"/>
      <c r="K225" s="529"/>
      <c r="L225" s="529"/>
      <c r="M225" s="529"/>
      <c r="N225" s="529"/>
      <c r="O225" s="529"/>
      <c r="P225" s="529"/>
      <c r="Q225" s="529"/>
      <c r="R225" s="529"/>
      <c r="S225" s="529"/>
      <c r="T225" s="529"/>
      <c r="U225" s="529"/>
      <c r="V225" s="529"/>
      <c r="W225" s="529"/>
      <c r="X225" s="529"/>
      <c r="Y225" s="529"/>
      <c r="Z225" s="529"/>
      <c r="AA225" s="529"/>
      <c r="AB225" s="529"/>
      <c r="AC225" s="529"/>
      <c r="AD225" s="529"/>
      <c r="AE225" s="529"/>
      <c r="AF225" s="529"/>
      <c r="AG225" s="529"/>
      <c r="AH225" s="529"/>
      <c r="AI225" s="529"/>
      <c r="AJ225" s="224"/>
      <c r="AK225" s="210"/>
      <c r="AL225" s="210"/>
    </row>
    <row r="226" spans="1:38" s="197" customFormat="1">
      <c r="A226" s="200"/>
      <c r="B226" s="200"/>
      <c r="C226" s="200"/>
      <c r="D226" s="200"/>
      <c r="E226" s="200"/>
      <c r="F226" s="200"/>
      <c r="G226" s="200"/>
      <c r="H226" s="200"/>
      <c r="I226" s="200"/>
      <c r="J226" s="200"/>
      <c r="K226" s="200"/>
      <c r="L226" s="200"/>
      <c r="M226" s="200"/>
      <c r="N226" s="199"/>
      <c r="O226" s="199"/>
      <c r="P226" s="200"/>
      <c r="Q226" s="200"/>
      <c r="R226" s="200"/>
      <c r="S226" s="199"/>
      <c r="T226" s="200"/>
      <c r="U226" s="200"/>
      <c r="V226" s="200"/>
      <c r="W226" s="200"/>
      <c r="X226" s="200"/>
      <c r="Y226" s="200"/>
      <c r="Z226" s="200"/>
      <c r="AA226" s="200"/>
      <c r="AB226" s="200"/>
      <c r="AC226" s="200"/>
      <c r="AD226" s="200"/>
      <c r="AE226" s="200"/>
      <c r="AF226" s="200"/>
      <c r="AG226" s="200"/>
      <c r="AH226" s="200"/>
      <c r="AI226" s="200"/>
      <c r="AJ226" s="224"/>
      <c r="AK226" s="210"/>
      <c r="AL226" s="210"/>
    </row>
    <row r="227" spans="1:38" s="197" customFormat="1">
      <c r="A227" s="530" t="s">
        <v>333</v>
      </c>
      <c r="B227" s="530"/>
      <c r="C227" s="530"/>
      <c r="D227" s="530"/>
      <c r="E227" s="530"/>
      <c r="F227" s="530"/>
      <c r="G227" s="530"/>
      <c r="H227" s="530"/>
      <c r="I227" s="530"/>
      <c r="J227" s="530"/>
      <c r="K227" s="530"/>
      <c r="L227" s="530"/>
      <c r="M227" s="530"/>
      <c r="N227" s="530"/>
      <c r="O227" s="530"/>
      <c r="P227" s="530"/>
      <c r="Q227" s="530"/>
      <c r="R227" s="530"/>
      <c r="S227" s="530"/>
      <c r="T227" s="530"/>
      <c r="U227" s="530"/>
      <c r="V227" s="530"/>
      <c r="W227" s="530"/>
      <c r="X227" s="530"/>
      <c r="Y227" s="530"/>
      <c r="Z227" s="530"/>
      <c r="AA227" s="530"/>
      <c r="AB227" s="530"/>
      <c r="AC227" s="530"/>
      <c r="AD227" s="530"/>
      <c r="AE227" s="530"/>
      <c r="AF227" s="530"/>
      <c r="AG227" s="530"/>
      <c r="AH227" s="530"/>
      <c r="AI227" s="530"/>
      <c r="AJ227" s="224"/>
      <c r="AK227" s="210"/>
      <c r="AL227" s="210"/>
    </row>
    <row r="228" spans="1:38" s="197" customFormat="1">
      <c r="A228" s="200"/>
      <c r="B228" s="200"/>
      <c r="C228" s="200"/>
      <c r="D228" s="200"/>
      <c r="E228" s="200"/>
      <c r="F228" s="200"/>
      <c r="G228" s="200"/>
      <c r="H228" s="200"/>
      <c r="I228" s="200"/>
      <c r="J228" s="200"/>
      <c r="K228" s="200"/>
      <c r="L228" s="200"/>
      <c r="M228" s="200"/>
      <c r="N228" s="199"/>
      <c r="O228" s="199"/>
      <c r="P228" s="200"/>
      <c r="Q228" s="200"/>
      <c r="R228" s="200"/>
      <c r="S228" s="199"/>
      <c r="T228" s="200"/>
      <c r="U228" s="200"/>
      <c r="V228" s="200"/>
      <c r="W228" s="200"/>
      <c r="X228" s="200"/>
      <c r="Y228" s="200"/>
      <c r="Z228" s="200"/>
      <c r="AA228" s="200"/>
      <c r="AB228" s="200"/>
      <c r="AC228" s="200"/>
      <c r="AD228" s="200"/>
      <c r="AE228" s="200"/>
      <c r="AF228" s="200"/>
      <c r="AG228" s="200"/>
      <c r="AH228" s="200"/>
      <c r="AI228" s="200"/>
      <c r="AJ228" s="226"/>
      <c r="AK228" s="210"/>
      <c r="AL228" s="210"/>
    </row>
    <row r="229" spans="1:38" s="197" customFormat="1">
      <c r="A229" s="200" t="s">
        <v>179</v>
      </c>
      <c r="B229" s="525">
        <v>4</v>
      </c>
      <c r="C229" s="525"/>
      <c r="D229" s="200" t="s">
        <v>332</v>
      </c>
      <c r="E229" s="200"/>
      <c r="F229" s="200"/>
      <c r="G229" s="200"/>
      <c r="H229" s="200"/>
      <c r="I229" s="200"/>
      <c r="J229" s="200"/>
      <c r="K229" s="200"/>
      <c r="L229" s="200"/>
      <c r="M229" s="200"/>
      <c r="N229" s="199"/>
      <c r="O229" s="199"/>
      <c r="P229" s="200"/>
      <c r="Q229" s="200"/>
      <c r="R229" s="200"/>
      <c r="S229" s="199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24"/>
      <c r="AK229" s="210"/>
      <c r="AL229" s="210"/>
    </row>
    <row r="230" spans="1:38" s="197" customFormat="1">
      <c r="A230" s="200"/>
      <c r="B230" s="200"/>
      <c r="C230" s="200"/>
      <c r="D230" s="200"/>
      <c r="E230" s="200"/>
      <c r="F230" s="200"/>
      <c r="G230" s="200"/>
      <c r="H230" s="200"/>
      <c r="I230" s="200"/>
      <c r="J230" s="200"/>
      <c r="K230" s="200"/>
      <c r="L230" s="200"/>
      <c r="M230" s="200"/>
      <c r="N230" s="199"/>
      <c r="O230" s="199"/>
      <c r="P230" s="200"/>
      <c r="Q230" s="200"/>
      <c r="R230" s="200"/>
      <c r="S230" s="199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24"/>
      <c r="AK230" s="210"/>
      <c r="AL230" s="210"/>
    </row>
    <row r="231" spans="1:38" s="197" customFormat="1" ht="15" customHeight="1">
      <c r="A231" s="529" t="s">
        <v>418</v>
      </c>
      <c r="B231" s="529"/>
      <c r="C231" s="529"/>
      <c r="D231" s="529"/>
      <c r="E231" s="529"/>
      <c r="F231" s="529"/>
      <c r="G231" s="529"/>
      <c r="H231" s="529"/>
      <c r="I231" s="529"/>
      <c r="J231" s="529"/>
      <c r="K231" s="529"/>
      <c r="L231" s="529"/>
      <c r="M231" s="529"/>
      <c r="N231" s="529"/>
      <c r="O231" s="529"/>
      <c r="P231" s="529"/>
      <c r="Q231" s="529"/>
      <c r="R231" s="529"/>
      <c r="S231" s="529"/>
      <c r="T231" s="529"/>
      <c r="U231" s="529"/>
      <c r="V231" s="529"/>
      <c r="W231" s="529"/>
      <c r="X231" s="529"/>
      <c r="Y231" s="529"/>
      <c r="Z231" s="529"/>
      <c r="AA231" s="529"/>
      <c r="AB231" s="529"/>
      <c r="AC231" s="529"/>
      <c r="AD231" s="529"/>
      <c r="AE231" s="529"/>
      <c r="AF231" s="529"/>
      <c r="AG231" s="529"/>
      <c r="AH231" s="529"/>
      <c r="AI231" s="529"/>
      <c r="AJ231" s="224"/>
      <c r="AK231" s="210"/>
      <c r="AL231" s="210"/>
    </row>
    <row r="232" spans="1:38" s="197" customFormat="1">
      <c r="A232" s="200"/>
      <c r="B232" s="200"/>
      <c r="C232" s="200"/>
      <c r="D232" s="200"/>
      <c r="E232" s="200"/>
      <c r="F232" s="200"/>
      <c r="G232" s="200"/>
      <c r="H232" s="200"/>
      <c r="I232" s="200"/>
      <c r="J232" s="200"/>
      <c r="K232" s="200"/>
      <c r="L232" s="200"/>
      <c r="M232" s="200"/>
      <c r="N232" s="199"/>
      <c r="O232" s="199"/>
      <c r="P232" s="200"/>
      <c r="Q232" s="200"/>
      <c r="R232" s="200"/>
      <c r="S232" s="199"/>
      <c r="T232" s="200"/>
      <c r="U232" s="200"/>
      <c r="V232" s="200"/>
      <c r="W232" s="200"/>
      <c r="X232" s="200"/>
      <c r="Y232" s="200"/>
      <c r="Z232" s="200"/>
      <c r="AA232" s="200"/>
      <c r="AB232" s="200"/>
      <c r="AC232" s="200"/>
      <c r="AD232" s="200"/>
      <c r="AE232" s="200"/>
      <c r="AF232" s="200"/>
      <c r="AG232" s="200"/>
      <c r="AH232" s="200"/>
      <c r="AI232" s="200"/>
      <c r="AJ232" s="224"/>
      <c r="AK232" s="210"/>
      <c r="AL232" s="210"/>
    </row>
    <row r="233" spans="1:38" s="197" customFormat="1">
      <c r="A233" s="530" t="s">
        <v>334</v>
      </c>
      <c r="B233" s="530"/>
      <c r="C233" s="530"/>
      <c r="D233" s="530"/>
      <c r="E233" s="530"/>
      <c r="F233" s="530"/>
      <c r="G233" s="530"/>
      <c r="H233" s="530"/>
      <c r="I233" s="530"/>
      <c r="J233" s="530"/>
      <c r="K233" s="530"/>
      <c r="L233" s="530"/>
      <c r="M233" s="530"/>
      <c r="N233" s="530"/>
      <c r="O233" s="530"/>
      <c r="P233" s="530"/>
      <c r="Q233" s="530"/>
      <c r="R233" s="530"/>
      <c r="S233" s="530"/>
      <c r="T233" s="530"/>
      <c r="U233" s="530"/>
      <c r="V233" s="530"/>
      <c r="W233" s="530"/>
      <c r="X233" s="530"/>
      <c r="Y233" s="530"/>
      <c r="Z233" s="530"/>
      <c r="AA233" s="530"/>
      <c r="AB233" s="530"/>
      <c r="AC233" s="530"/>
      <c r="AD233" s="530"/>
      <c r="AE233" s="530"/>
      <c r="AF233" s="530"/>
      <c r="AG233" s="530"/>
      <c r="AH233" s="530"/>
      <c r="AI233" s="530"/>
      <c r="AJ233" s="224"/>
      <c r="AK233" s="210"/>
      <c r="AL233" s="210"/>
    </row>
    <row r="234" spans="1:38" s="197" customFormat="1">
      <c r="A234" s="200"/>
      <c r="B234" s="200"/>
      <c r="C234" s="200"/>
      <c r="D234" s="200"/>
      <c r="E234" s="200"/>
      <c r="F234" s="200"/>
      <c r="G234" s="200"/>
      <c r="H234" s="200"/>
      <c r="I234" s="200"/>
      <c r="J234" s="200"/>
      <c r="K234" s="200"/>
      <c r="L234" s="200"/>
      <c r="M234" s="200"/>
      <c r="N234" s="199"/>
      <c r="O234" s="199"/>
      <c r="P234" s="200"/>
      <c r="Q234" s="200"/>
      <c r="R234" s="200"/>
      <c r="S234" s="199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26"/>
      <c r="AK234" s="210"/>
      <c r="AL234" s="210"/>
    </row>
    <row r="235" spans="1:38" s="197" customFormat="1">
      <c r="A235" s="200" t="s">
        <v>179</v>
      </c>
      <c r="B235" s="525">
        <f>B229</f>
        <v>4</v>
      </c>
      <c r="C235" s="525"/>
      <c r="D235" s="200" t="s">
        <v>332</v>
      </c>
      <c r="E235" s="200"/>
      <c r="F235" s="200"/>
      <c r="G235" s="200"/>
      <c r="H235" s="200"/>
      <c r="I235" s="200"/>
      <c r="J235" s="200"/>
      <c r="K235" s="200"/>
      <c r="L235" s="200"/>
      <c r="M235" s="200"/>
      <c r="N235" s="199"/>
      <c r="O235" s="199"/>
      <c r="P235" s="200"/>
      <c r="Q235" s="200"/>
      <c r="R235" s="200"/>
      <c r="S235" s="199"/>
      <c r="T235" s="200"/>
      <c r="U235" s="200"/>
      <c r="V235" s="200"/>
      <c r="W235" s="200"/>
      <c r="X235" s="200"/>
      <c r="Y235" s="200"/>
      <c r="Z235" s="200"/>
      <c r="AA235" s="200"/>
      <c r="AB235" s="200"/>
      <c r="AC235" s="200"/>
      <c r="AD235" s="200"/>
      <c r="AE235" s="200"/>
      <c r="AF235" s="200"/>
      <c r="AG235" s="200"/>
      <c r="AH235" s="200"/>
      <c r="AI235" s="200"/>
      <c r="AJ235" s="224"/>
      <c r="AK235" s="210"/>
      <c r="AL235" s="210"/>
    </row>
    <row r="236" spans="1:38" s="197" customFormat="1">
      <c r="A236" s="200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199"/>
      <c r="O236" s="199"/>
      <c r="P236" s="200"/>
      <c r="Q236" s="200"/>
      <c r="R236" s="200"/>
      <c r="S236" s="199"/>
      <c r="T236" s="200"/>
      <c r="U236" s="200"/>
      <c r="V236" s="200"/>
      <c r="W236" s="200"/>
      <c r="X236" s="200"/>
      <c r="Y236" s="200"/>
      <c r="Z236" s="200"/>
      <c r="AA236" s="200"/>
      <c r="AB236" s="200"/>
      <c r="AC236" s="200"/>
      <c r="AD236" s="200"/>
      <c r="AE236" s="200"/>
      <c r="AF236" s="200"/>
      <c r="AG236" s="200"/>
      <c r="AH236" s="200"/>
      <c r="AI236" s="200"/>
      <c r="AJ236" s="224"/>
      <c r="AK236" s="210"/>
      <c r="AL236" s="210"/>
    </row>
    <row r="237" spans="1:38" s="197" customFormat="1" ht="30" customHeight="1">
      <c r="A237" s="529" t="s">
        <v>419</v>
      </c>
      <c r="B237" s="529"/>
      <c r="C237" s="529"/>
      <c r="D237" s="529"/>
      <c r="E237" s="529"/>
      <c r="F237" s="529"/>
      <c r="G237" s="529"/>
      <c r="H237" s="529"/>
      <c r="I237" s="529"/>
      <c r="J237" s="529"/>
      <c r="K237" s="529"/>
      <c r="L237" s="529"/>
      <c r="M237" s="529"/>
      <c r="N237" s="529"/>
      <c r="O237" s="529"/>
      <c r="P237" s="529"/>
      <c r="Q237" s="529"/>
      <c r="R237" s="529"/>
      <c r="S237" s="529"/>
      <c r="T237" s="529"/>
      <c r="U237" s="529"/>
      <c r="V237" s="529"/>
      <c r="W237" s="529"/>
      <c r="X237" s="529"/>
      <c r="Y237" s="529"/>
      <c r="Z237" s="529"/>
      <c r="AA237" s="529"/>
      <c r="AB237" s="529"/>
      <c r="AC237" s="529"/>
      <c r="AD237" s="529"/>
      <c r="AE237" s="529"/>
      <c r="AF237" s="529"/>
      <c r="AG237" s="529"/>
      <c r="AH237" s="529"/>
      <c r="AI237" s="529"/>
      <c r="AJ237" s="224"/>
      <c r="AK237" s="210"/>
      <c r="AL237" s="210"/>
    </row>
    <row r="238" spans="1:38" s="197" customFormat="1">
      <c r="A238" s="200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199"/>
      <c r="O238" s="199"/>
      <c r="P238" s="200"/>
      <c r="Q238" s="200"/>
      <c r="R238" s="200"/>
      <c r="S238" s="199"/>
      <c r="T238" s="200"/>
      <c r="U238" s="200"/>
      <c r="V238" s="200"/>
      <c r="W238" s="200"/>
      <c r="X238" s="200"/>
      <c r="Y238" s="200"/>
      <c r="Z238" s="200"/>
      <c r="AA238" s="200"/>
      <c r="AB238" s="200"/>
      <c r="AC238" s="200"/>
      <c r="AD238" s="200"/>
      <c r="AE238" s="200"/>
      <c r="AF238" s="200"/>
      <c r="AG238" s="200"/>
      <c r="AH238" s="200"/>
      <c r="AI238" s="200"/>
      <c r="AJ238" s="224"/>
      <c r="AK238" s="210"/>
      <c r="AL238" s="210"/>
    </row>
    <row r="239" spans="1:38" s="197" customFormat="1">
      <c r="A239" s="530" t="s">
        <v>331</v>
      </c>
      <c r="B239" s="530"/>
      <c r="C239" s="530"/>
      <c r="D239" s="530"/>
      <c r="E239" s="530"/>
      <c r="F239" s="530"/>
      <c r="G239" s="530"/>
      <c r="H239" s="530"/>
      <c r="I239" s="530"/>
      <c r="J239" s="530"/>
      <c r="K239" s="530"/>
      <c r="L239" s="530"/>
      <c r="M239" s="530"/>
      <c r="N239" s="530"/>
      <c r="O239" s="530"/>
      <c r="P239" s="530"/>
      <c r="Q239" s="530"/>
      <c r="R239" s="530"/>
      <c r="S239" s="530"/>
      <c r="T239" s="530"/>
      <c r="U239" s="530"/>
      <c r="V239" s="530"/>
      <c r="W239" s="530"/>
      <c r="X239" s="530"/>
      <c r="Y239" s="530"/>
      <c r="Z239" s="530"/>
      <c r="AA239" s="530"/>
      <c r="AB239" s="530"/>
      <c r="AC239" s="530"/>
      <c r="AD239" s="530"/>
      <c r="AE239" s="530"/>
      <c r="AF239" s="530"/>
      <c r="AG239" s="530"/>
      <c r="AH239" s="530"/>
      <c r="AI239" s="530"/>
      <c r="AJ239" s="224"/>
      <c r="AK239" s="210"/>
      <c r="AL239" s="210"/>
    </row>
    <row r="240" spans="1:38" s="197" customFormat="1">
      <c r="A240" s="200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199"/>
      <c r="O240" s="199"/>
      <c r="P240" s="200"/>
      <c r="Q240" s="200"/>
      <c r="R240" s="200"/>
      <c r="S240" s="199"/>
      <c r="T240" s="200"/>
      <c r="U240" s="200"/>
      <c r="V240" s="200"/>
      <c r="W240" s="200"/>
      <c r="X240" s="200"/>
      <c r="Y240" s="200"/>
      <c r="Z240" s="200"/>
      <c r="AA240" s="200"/>
      <c r="AB240" s="200"/>
      <c r="AC240" s="200"/>
      <c r="AD240" s="200"/>
      <c r="AE240" s="200"/>
      <c r="AF240" s="200"/>
      <c r="AG240" s="200"/>
      <c r="AH240" s="200"/>
      <c r="AI240" s="200"/>
      <c r="AJ240" s="224"/>
      <c r="AK240" s="210"/>
      <c r="AL240" s="210"/>
    </row>
    <row r="241" spans="1:38" s="197" customFormat="1">
      <c r="A241" s="200" t="s">
        <v>179</v>
      </c>
      <c r="B241" s="525">
        <v>2</v>
      </c>
      <c r="C241" s="525"/>
      <c r="D241" s="200" t="s">
        <v>332</v>
      </c>
      <c r="E241" s="200"/>
      <c r="F241" s="200"/>
      <c r="G241" s="200"/>
      <c r="H241" s="200"/>
      <c r="I241" s="200"/>
      <c r="J241" s="200"/>
      <c r="K241" s="200"/>
      <c r="L241" s="200"/>
      <c r="M241" s="200"/>
      <c r="N241" s="199"/>
      <c r="O241" s="199"/>
      <c r="P241" s="200"/>
      <c r="Q241" s="200"/>
      <c r="R241" s="200"/>
      <c r="S241" s="199"/>
      <c r="T241" s="200"/>
      <c r="U241" s="200"/>
      <c r="V241" s="200"/>
      <c r="W241" s="200"/>
      <c r="X241" s="200"/>
      <c r="Y241" s="200"/>
      <c r="Z241" s="200"/>
      <c r="AA241" s="200"/>
      <c r="AB241" s="200"/>
      <c r="AC241" s="200"/>
      <c r="AD241" s="200"/>
      <c r="AE241" s="200"/>
      <c r="AF241" s="200"/>
      <c r="AG241" s="200"/>
      <c r="AH241" s="200"/>
      <c r="AI241" s="200"/>
      <c r="AJ241" s="224"/>
      <c r="AK241" s="210"/>
      <c r="AL241" s="210"/>
    </row>
    <row r="242" spans="1:38" s="197" customFormat="1">
      <c r="A242" s="200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199"/>
      <c r="O242" s="199"/>
      <c r="P242" s="200"/>
      <c r="Q242" s="200"/>
      <c r="R242" s="200"/>
      <c r="S242" s="199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24"/>
      <c r="AK242" s="210"/>
      <c r="AL242" s="210"/>
    </row>
    <row r="243" spans="1:38" s="197" customFormat="1" ht="15">
      <c r="A243" s="229" t="s">
        <v>367</v>
      </c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  <c r="R243" s="230"/>
      <c r="S243" s="230"/>
      <c r="T243" s="230"/>
      <c r="U243" s="230"/>
      <c r="V243" s="230"/>
      <c r="W243" s="230"/>
      <c r="X243" s="230"/>
      <c r="Y243" s="230"/>
      <c r="Z243" s="230"/>
      <c r="AA243" s="230"/>
      <c r="AB243" s="230"/>
      <c r="AC243" s="230"/>
      <c r="AD243" s="230"/>
      <c r="AE243" s="230"/>
      <c r="AF243" s="230"/>
      <c r="AG243" s="230"/>
      <c r="AH243" s="230"/>
      <c r="AI243" s="231"/>
      <c r="AJ243" s="224"/>
      <c r="AK243" s="210"/>
      <c r="AL243" s="210"/>
    </row>
    <row r="245" spans="1:38" ht="15">
      <c r="A245" s="542" t="s">
        <v>368</v>
      </c>
      <c r="B245" s="542"/>
      <c r="C245" s="542"/>
      <c r="D245" s="542"/>
      <c r="E245" s="542"/>
      <c r="F245" s="542"/>
      <c r="G245" s="542"/>
      <c r="H245" s="542"/>
      <c r="I245" s="542"/>
      <c r="J245" s="542"/>
      <c r="K245" s="542"/>
      <c r="L245" s="542"/>
      <c r="M245" s="542"/>
      <c r="N245" s="542"/>
      <c r="O245" s="542"/>
      <c r="P245" s="542"/>
      <c r="Q245" s="542"/>
      <c r="R245" s="542"/>
      <c r="S245" s="542"/>
      <c r="T245" s="542"/>
      <c r="U245" s="542"/>
      <c r="V245" s="542"/>
      <c r="W245" s="542"/>
      <c r="X245" s="542"/>
      <c r="Y245" s="542"/>
      <c r="Z245" s="542"/>
      <c r="AA245" s="542"/>
      <c r="AB245" s="542"/>
      <c r="AC245" s="542"/>
      <c r="AD245" s="542"/>
      <c r="AE245" s="542"/>
      <c r="AF245" s="542"/>
      <c r="AG245" s="542"/>
      <c r="AH245" s="542"/>
      <c r="AI245" s="542"/>
    </row>
    <row r="247" spans="1:38">
      <c r="A247" s="530" t="s">
        <v>229</v>
      </c>
      <c r="B247" s="530"/>
      <c r="C247" s="530"/>
      <c r="D247" s="530"/>
      <c r="E247" s="530"/>
      <c r="F247" s="530"/>
      <c r="G247" s="530"/>
      <c r="H247" s="530"/>
      <c r="I247" s="530"/>
      <c r="J247" s="530"/>
      <c r="K247" s="530"/>
      <c r="L247" s="530"/>
      <c r="M247" s="530"/>
      <c r="N247" s="530"/>
      <c r="O247" s="530"/>
      <c r="P247" s="530"/>
      <c r="Q247" s="530"/>
      <c r="R247" s="530"/>
      <c r="S247" s="530"/>
      <c r="T247" s="530"/>
      <c r="U247" s="530"/>
      <c r="V247" s="530"/>
      <c r="W247" s="530"/>
      <c r="X247" s="530"/>
      <c r="Y247" s="530"/>
      <c r="Z247" s="530"/>
      <c r="AA247" s="530"/>
      <c r="AB247" s="530"/>
      <c r="AC247" s="530"/>
      <c r="AD247" s="530"/>
      <c r="AE247" s="530"/>
      <c r="AF247" s="530"/>
      <c r="AG247" s="530"/>
      <c r="AH247" s="530"/>
      <c r="AI247" s="530"/>
    </row>
    <row r="249" spans="1:38">
      <c r="A249" s="200" t="s">
        <v>230</v>
      </c>
      <c r="B249" s="543">
        <f>B77</f>
        <v>1154.2</v>
      </c>
      <c r="C249" s="530"/>
      <c r="D249" s="530"/>
      <c r="E249" s="200" t="s">
        <v>85</v>
      </c>
    </row>
  </sheetData>
  <mergeCells count="321">
    <mergeCell ref="A237:AI237"/>
    <mergeCell ref="A239:AI239"/>
    <mergeCell ref="B241:C241"/>
    <mergeCell ref="A231:AI231"/>
    <mergeCell ref="A233:AI233"/>
    <mergeCell ref="B235:C235"/>
    <mergeCell ref="A245:AI245"/>
    <mergeCell ref="A247:AI247"/>
    <mergeCell ref="B249:D249"/>
    <mergeCell ref="A225:AI225"/>
    <mergeCell ref="A227:AI227"/>
    <mergeCell ref="B229:C229"/>
    <mergeCell ref="P219:Q219"/>
    <mergeCell ref="R219:S219"/>
    <mergeCell ref="T219:U219"/>
    <mergeCell ref="V219:W219"/>
    <mergeCell ref="D221:E221"/>
    <mergeCell ref="B223:D223"/>
    <mergeCell ref="A218:F218"/>
    <mergeCell ref="G218:H218"/>
    <mergeCell ref="J218:K218"/>
    <mergeCell ref="N218:O218"/>
    <mergeCell ref="R218:S218"/>
    <mergeCell ref="A219:F219"/>
    <mergeCell ref="G219:H219"/>
    <mergeCell ref="J219:K219"/>
    <mergeCell ref="L219:M219"/>
    <mergeCell ref="N219:O219"/>
    <mergeCell ref="A216:F216"/>
    <mergeCell ref="G216:H216"/>
    <mergeCell ref="J216:K216"/>
    <mergeCell ref="L216:M216"/>
    <mergeCell ref="N216:O216"/>
    <mergeCell ref="A213:F213"/>
    <mergeCell ref="G213:H213"/>
    <mergeCell ref="A215:F215"/>
    <mergeCell ref="G215:H215"/>
    <mergeCell ref="J215:K215"/>
    <mergeCell ref="A197:AI197"/>
    <mergeCell ref="A199:AI199"/>
    <mergeCell ref="A201:F201"/>
    <mergeCell ref="G201:H201"/>
    <mergeCell ref="C195:D195"/>
    <mergeCell ref="A205:AI205"/>
    <mergeCell ref="A207:AI207"/>
    <mergeCell ref="A209:F209"/>
    <mergeCell ref="G209:H209"/>
    <mergeCell ref="A203:B203"/>
    <mergeCell ref="C203:D203"/>
    <mergeCell ref="R193:S193"/>
    <mergeCell ref="T193:U193"/>
    <mergeCell ref="V193:W193"/>
    <mergeCell ref="A193:F193"/>
    <mergeCell ref="G193:H193"/>
    <mergeCell ref="J193:K193"/>
    <mergeCell ref="L193:M193"/>
    <mergeCell ref="N193:O193"/>
    <mergeCell ref="P193:Q193"/>
    <mergeCell ref="A190:AI190"/>
    <mergeCell ref="G192:H192"/>
    <mergeCell ref="J192:K192"/>
    <mergeCell ref="N192:O192"/>
    <mergeCell ref="R192:S192"/>
    <mergeCell ref="V192:W192"/>
    <mergeCell ref="G184:H184"/>
    <mergeCell ref="J184:K184"/>
    <mergeCell ref="L184:M184"/>
    <mergeCell ref="N184:O184"/>
    <mergeCell ref="P184:Q184"/>
    <mergeCell ref="R184:S184"/>
    <mergeCell ref="R183:S183"/>
    <mergeCell ref="A183:F183"/>
    <mergeCell ref="G183:H183"/>
    <mergeCell ref="J183:K183"/>
    <mergeCell ref="L183:M183"/>
    <mergeCell ref="N183:O183"/>
    <mergeCell ref="P183:Q183"/>
    <mergeCell ref="C186:D186"/>
    <mergeCell ref="A188:AI188"/>
    <mergeCell ref="T176:U176"/>
    <mergeCell ref="V176:W176"/>
    <mergeCell ref="C178:D178"/>
    <mergeCell ref="A180:AI180"/>
    <mergeCell ref="G182:H182"/>
    <mergeCell ref="J182:K182"/>
    <mergeCell ref="N182:O182"/>
    <mergeCell ref="R182:S182"/>
    <mergeCell ref="G176:H176"/>
    <mergeCell ref="J176:K176"/>
    <mergeCell ref="L176:M176"/>
    <mergeCell ref="N176:O176"/>
    <mergeCell ref="P176:Q176"/>
    <mergeCell ref="R176:S176"/>
    <mergeCell ref="C168:D168"/>
    <mergeCell ref="A170:AI170"/>
    <mergeCell ref="A172:AI172"/>
    <mergeCell ref="G174:H174"/>
    <mergeCell ref="J174:K174"/>
    <mergeCell ref="N174:O174"/>
    <mergeCell ref="R174:S174"/>
    <mergeCell ref="V174:W174"/>
    <mergeCell ref="R175:S175"/>
    <mergeCell ref="T175:U175"/>
    <mergeCell ref="V175:W175"/>
    <mergeCell ref="A175:F175"/>
    <mergeCell ref="G175:H175"/>
    <mergeCell ref="J175:K175"/>
    <mergeCell ref="L175:M175"/>
    <mergeCell ref="N175:O175"/>
    <mergeCell ref="P175:Q175"/>
    <mergeCell ref="C158:D158"/>
    <mergeCell ref="A160:AI160"/>
    <mergeCell ref="A162:AI162"/>
    <mergeCell ref="A164:AI164"/>
    <mergeCell ref="A166:F166"/>
    <mergeCell ref="G166:H166"/>
    <mergeCell ref="J166:K166"/>
    <mergeCell ref="L166:M166"/>
    <mergeCell ref="N166:O166"/>
    <mergeCell ref="B152:C152"/>
    <mergeCell ref="D152:E152"/>
    <mergeCell ref="B155:C155"/>
    <mergeCell ref="G155:H155"/>
    <mergeCell ref="AJ155:AK155"/>
    <mergeCell ref="B156:C156"/>
    <mergeCell ref="D156:E156"/>
    <mergeCell ref="B142:D142"/>
    <mergeCell ref="A145:AI145"/>
    <mergeCell ref="A147:AI148"/>
    <mergeCell ref="AJ149:AK149"/>
    <mergeCell ref="B151:C151"/>
    <mergeCell ref="G151:H151"/>
    <mergeCell ref="C135:D135"/>
    <mergeCell ref="A137:AI137"/>
    <mergeCell ref="A139:AI139"/>
    <mergeCell ref="C141:D141"/>
    <mergeCell ref="G141:H141"/>
    <mergeCell ref="J141:K141"/>
    <mergeCell ref="M141:N141"/>
    <mergeCell ref="A133:D133"/>
    <mergeCell ref="F133:G133"/>
    <mergeCell ref="H133:I133"/>
    <mergeCell ref="J133:K133"/>
    <mergeCell ref="L133:M133"/>
    <mergeCell ref="N133:O133"/>
    <mergeCell ref="F129:G129"/>
    <mergeCell ref="I129:J129"/>
    <mergeCell ref="L129:M129"/>
    <mergeCell ref="E132:F132"/>
    <mergeCell ref="H132:I132"/>
    <mergeCell ref="J132:K132"/>
    <mergeCell ref="L132:M132"/>
    <mergeCell ref="A128:D128"/>
    <mergeCell ref="F128:G128"/>
    <mergeCell ref="H128:I128"/>
    <mergeCell ref="J128:K128"/>
    <mergeCell ref="L128:M128"/>
    <mergeCell ref="N128:O128"/>
    <mergeCell ref="A127:D127"/>
    <mergeCell ref="F127:G127"/>
    <mergeCell ref="H127:I127"/>
    <mergeCell ref="J127:K127"/>
    <mergeCell ref="L127:M127"/>
    <mergeCell ref="N127:O127"/>
    <mergeCell ref="A122:D122"/>
    <mergeCell ref="F122:G122"/>
    <mergeCell ref="H122:I122"/>
    <mergeCell ref="J122:K122"/>
    <mergeCell ref="L122:M122"/>
    <mergeCell ref="N122:O122"/>
    <mergeCell ref="A123:D123"/>
    <mergeCell ref="F123:G123"/>
    <mergeCell ref="H123:I123"/>
    <mergeCell ref="J123:K123"/>
    <mergeCell ref="L123:M123"/>
    <mergeCell ref="N123:O123"/>
    <mergeCell ref="A124:D124"/>
    <mergeCell ref="F124:G124"/>
    <mergeCell ref="H124:I124"/>
    <mergeCell ref="J124:K124"/>
    <mergeCell ref="L124:M124"/>
    <mergeCell ref="A121:D121"/>
    <mergeCell ref="F121:G121"/>
    <mergeCell ref="H121:I121"/>
    <mergeCell ref="J121:K121"/>
    <mergeCell ref="L121:M121"/>
    <mergeCell ref="N121:O121"/>
    <mergeCell ref="A110:AI110"/>
    <mergeCell ref="A112:AI112"/>
    <mergeCell ref="B114:C114"/>
    <mergeCell ref="D114:E114"/>
    <mergeCell ref="A116:AI116"/>
    <mergeCell ref="A120:D120"/>
    <mergeCell ref="F120:G120"/>
    <mergeCell ref="H120:I120"/>
    <mergeCell ref="J120:K120"/>
    <mergeCell ref="L120:M120"/>
    <mergeCell ref="Q107:R107"/>
    <mergeCell ref="F108:G108"/>
    <mergeCell ref="H108:I108"/>
    <mergeCell ref="J108:K108"/>
    <mergeCell ref="L108:M108"/>
    <mergeCell ref="N108:O108"/>
    <mergeCell ref="N106:O106"/>
    <mergeCell ref="F107:G107"/>
    <mergeCell ref="H107:I107"/>
    <mergeCell ref="J107:K107"/>
    <mergeCell ref="L107:M107"/>
    <mergeCell ref="N107:O107"/>
    <mergeCell ref="A100:D100"/>
    <mergeCell ref="F100:G100"/>
    <mergeCell ref="H100:I100"/>
    <mergeCell ref="J100:K100"/>
    <mergeCell ref="L100:M100"/>
    <mergeCell ref="N100:O100"/>
    <mergeCell ref="A99:D99"/>
    <mergeCell ref="F99:G99"/>
    <mergeCell ref="H99:I99"/>
    <mergeCell ref="J99:K99"/>
    <mergeCell ref="L99:M99"/>
    <mergeCell ref="N99:O99"/>
    <mergeCell ref="B93:D93"/>
    <mergeCell ref="G93:H93"/>
    <mergeCell ref="B94:D94"/>
    <mergeCell ref="A96:AI96"/>
    <mergeCell ref="A98:D98"/>
    <mergeCell ref="F98:G98"/>
    <mergeCell ref="H98:I98"/>
    <mergeCell ref="J98:K98"/>
    <mergeCell ref="L98:M98"/>
    <mergeCell ref="N98:O98"/>
    <mergeCell ref="F87:G87"/>
    <mergeCell ref="A89:AI89"/>
    <mergeCell ref="A91:AI91"/>
    <mergeCell ref="AJ91:AK91"/>
    <mergeCell ref="A83:D83"/>
    <mergeCell ref="F83:G83"/>
    <mergeCell ref="A84:D84"/>
    <mergeCell ref="F84:G84"/>
    <mergeCell ref="A85:D85"/>
    <mergeCell ref="F85:G85"/>
    <mergeCell ref="B77:D77"/>
    <mergeCell ref="A79:AI79"/>
    <mergeCell ref="A81:D81"/>
    <mergeCell ref="F81:G81"/>
    <mergeCell ref="A82:D82"/>
    <mergeCell ref="F82:G82"/>
    <mergeCell ref="A73:AI73"/>
    <mergeCell ref="B75:C75"/>
    <mergeCell ref="G75:H75"/>
    <mergeCell ref="E76:F76"/>
    <mergeCell ref="A54:AI54"/>
    <mergeCell ref="A56:AI56"/>
    <mergeCell ref="B58:C58"/>
    <mergeCell ref="D58:E58"/>
    <mergeCell ref="A61:AI61"/>
    <mergeCell ref="A71:AI71"/>
    <mergeCell ref="B44:C44"/>
    <mergeCell ref="D44:E44"/>
    <mergeCell ref="A47:AI47"/>
    <mergeCell ref="A49:AI49"/>
    <mergeCell ref="B51:C51"/>
    <mergeCell ref="D51:E51"/>
    <mergeCell ref="A63:AI63"/>
    <mergeCell ref="A65:AI65"/>
    <mergeCell ref="A66:AI66"/>
    <mergeCell ref="B67:C67"/>
    <mergeCell ref="G67:H67"/>
    <mergeCell ref="B69:D69"/>
    <mergeCell ref="E68:F68"/>
    <mergeCell ref="B37:C37"/>
    <mergeCell ref="D37:E37"/>
    <mergeCell ref="A40:AI40"/>
    <mergeCell ref="A42:AI42"/>
    <mergeCell ref="A20:AI20"/>
    <mergeCell ref="A22:AI22"/>
    <mergeCell ref="B24:C24"/>
    <mergeCell ref="A26:AI26"/>
    <mergeCell ref="A28:AI28"/>
    <mergeCell ref="B30:C30"/>
    <mergeCell ref="D30:E30"/>
    <mergeCell ref="A2:AI2"/>
    <mergeCell ref="A4:AI4"/>
    <mergeCell ref="A6:AI6"/>
    <mergeCell ref="A8:AI8"/>
    <mergeCell ref="B10:C10"/>
    <mergeCell ref="F10:G10"/>
    <mergeCell ref="J10:K10"/>
    <mergeCell ref="A33:AI33"/>
    <mergeCell ref="A35:AI35"/>
    <mergeCell ref="A12:AI12"/>
    <mergeCell ref="A14:AI14"/>
    <mergeCell ref="A15:AI15"/>
    <mergeCell ref="B16:C16"/>
    <mergeCell ref="G16:H16"/>
    <mergeCell ref="C18:E18"/>
    <mergeCell ref="E17:F17"/>
    <mergeCell ref="N124:O124"/>
    <mergeCell ref="A101:D101"/>
    <mergeCell ref="F101:G101"/>
    <mergeCell ref="H101:I101"/>
    <mergeCell ref="J101:K101"/>
    <mergeCell ref="L101:M101"/>
    <mergeCell ref="N101:O101"/>
    <mergeCell ref="A102:D102"/>
    <mergeCell ref="F102:G102"/>
    <mergeCell ref="H102:I102"/>
    <mergeCell ref="J102:K102"/>
    <mergeCell ref="L102:M102"/>
    <mergeCell ref="N102:O102"/>
    <mergeCell ref="C103:D103"/>
    <mergeCell ref="E103:F103"/>
    <mergeCell ref="G103:H103"/>
    <mergeCell ref="I103:J103"/>
    <mergeCell ref="K103:L103"/>
    <mergeCell ref="A106:D106"/>
    <mergeCell ref="F106:G106"/>
    <mergeCell ref="H106:I106"/>
    <mergeCell ref="J106:K106"/>
    <mergeCell ref="L106:M106"/>
    <mergeCell ref="N120:O120"/>
  </mergeCells>
  <printOptions horizontalCentered="1"/>
  <pageMargins left="0.25" right="0.25" top="0.75" bottom="0.75" header="0.3" footer="0.3"/>
  <pageSetup paperSize="9" scale="62" orientation="portrait" horizontalDpi="4294967293" verticalDpi="4294967293" r:id="rId1"/>
  <rowBreaks count="2" manualBreakCount="2">
    <brk id="115" max="34" man="1"/>
    <brk id="196" max="3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B1:AG45"/>
  <sheetViews>
    <sheetView view="pageBreakPreview" topLeftCell="A39" zoomScaleSheetLayoutView="100" workbookViewId="0">
      <selection activeCell="I44" sqref="I44"/>
    </sheetView>
  </sheetViews>
  <sheetFormatPr defaultColWidth="9.140625" defaultRowHeight="14.25"/>
  <cols>
    <col min="1" max="1" width="2.28515625" style="157" customWidth="1"/>
    <col min="2" max="2" width="12.7109375" style="234" customWidth="1"/>
    <col min="3" max="3" width="12.85546875" style="234" customWidth="1"/>
    <col min="4" max="4" width="9.140625" style="234"/>
    <col min="5" max="5" width="60.7109375" style="157" customWidth="1"/>
    <col min="6" max="6" width="9.140625" style="234"/>
    <col min="7" max="7" width="9.85546875" style="235" bestFit="1" customWidth="1"/>
    <col min="8" max="8" width="9.140625" style="235"/>
    <col min="9" max="9" width="11.7109375" style="235" customWidth="1"/>
    <col min="10" max="10" width="9.140625" style="157"/>
    <col min="11" max="11" width="9.140625" style="160"/>
    <col min="12" max="12" width="9.140625" style="157"/>
    <col min="13" max="13" width="10.140625" style="157" bestFit="1" customWidth="1"/>
    <col min="14" max="16384" width="9.140625" style="157"/>
  </cols>
  <sheetData>
    <row r="1" spans="2:11" s="153" customFormat="1" ht="21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.75" customHeight="1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233"/>
      <c r="F8" s="233"/>
      <c r="G8" s="233"/>
      <c r="H8" s="233"/>
      <c r="I8" s="233"/>
    </row>
    <row r="9" spans="2:11" ht="15" customHeight="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 ht="15" customHeight="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5.75" customHeight="1">
      <c r="B11" s="158" t="s">
        <v>121</v>
      </c>
      <c r="C11" s="159" t="str">
        <f>'RUA 1'!C11</f>
        <v>1054116-72</v>
      </c>
      <c r="D11" s="194"/>
      <c r="E11" s="194"/>
      <c r="F11" s="194"/>
      <c r="G11" s="194"/>
      <c r="H11" s="194"/>
      <c r="I11" s="194"/>
    </row>
    <row r="12" spans="2:11" ht="15" customHeight="1">
      <c r="B12" s="158" t="s">
        <v>122</v>
      </c>
      <c r="C12" s="515" t="str">
        <f>'RUA 1'!C12:I12</f>
        <v>Pavimentação de diversas ruas no município de Itapororoca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7'!A2</f>
        <v>Rua Marcos Moises de oliveira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s="355" customFormat="1" ht="28.5" customHeight="1">
      <c r="B15" s="521" t="s">
        <v>125</v>
      </c>
      <c r="C15" s="521"/>
      <c r="D15" s="522" t="str">
        <f>'RUA 2'!D15:G15</f>
        <v>Sistema Nacional de Pesquisas de Custos e Índices da Construção Civil - SINAPI / Outubro - 2018</v>
      </c>
      <c r="E15" s="522"/>
      <c r="F15" s="522"/>
      <c r="G15" s="522"/>
      <c r="H15" s="357" t="s">
        <v>126</v>
      </c>
      <c r="I15" s="358">
        <f>BDI!B14</f>
        <v>0.2203</v>
      </c>
      <c r="K15" s="359"/>
    </row>
    <row r="17" spans="2:11" ht="15">
      <c r="B17" s="518" t="s">
        <v>127</v>
      </c>
      <c r="C17" s="518" t="s">
        <v>52</v>
      </c>
      <c r="D17" s="518" t="s">
        <v>46</v>
      </c>
      <c r="E17" s="518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1" ht="15">
      <c r="B18" s="518"/>
      <c r="C18" s="518"/>
      <c r="D18" s="518"/>
      <c r="E18" s="518"/>
      <c r="F18" s="518"/>
      <c r="G18" s="519"/>
      <c r="H18" s="239" t="s">
        <v>132</v>
      </c>
      <c r="I18" s="239" t="s">
        <v>133</v>
      </c>
    </row>
    <row r="20" spans="2:11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332.03</v>
      </c>
    </row>
    <row r="21" spans="2:11">
      <c r="B21" s="176" t="s">
        <v>136</v>
      </c>
      <c r="C21" s="176" t="s">
        <v>137</v>
      </c>
      <c r="D21" s="176" t="s">
        <v>138</v>
      </c>
      <c r="E21" s="360" t="s">
        <v>231</v>
      </c>
      <c r="F21" s="176" t="s">
        <v>85</v>
      </c>
      <c r="G21" s="361">
        <f>'MEMORIAL 7'!J10</f>
        <v>0</v>
      </c>
      <c r="H21" s="361">
        <f>ROUND(K21+(K21*$I$15),2)</f>
        <v>381.08</v>
      </c>
      <c r="I21" s="361">
        <f>ROUND(G21*H21,2)</f>
        <v>0</v>
      </c>
      <c r="K21" s="160">
        <f>'RUA 1'!K21</f>
        <v>312.27999999999997</v>
      </c>
    </row>
    <row r="22" spans="2:11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7'!C18</f>
        <v>357.45</v>
      </c>
      <c r="H22" s="361">
        <f>ROUND(K22+(K22*$I$15),2)</f>
        <v>0.35</v>
      </c>
      <c r="I22" s="361">
        <f>ROUND(G22*H22,2)</f>
        <v>125.11</v>
      </c>
      <c r="K22" s="160">
        <v>0.28999999999999998</v>
      </c>
    </row>
    <row r="23" spans="2:11" ht="28.5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7'!B24</f>
        <v>2</v>
      </c>
      <c r="H23" s="361">
        <f>ROUND(K23+(K23*$I$15),2)</f>
        <v>103.46</v>
      </c>
      <c r="I23" s="361">
        <f>ROUND(G23*H23,2)</f>
        <v>206.92</v>
      </c>
      <c r="K23" s="160">
        <f>'RUA 1'!K23</f>
        <v>84.78</v>
      </c>
    </row>
    <row r="24" spans="2:11">
      <c r="B24" s="524"/>
      <c r="C24" s="524"/>
      <c r="D24" s="524"/>
      <c r="E24" s="524"/>
      <c r="F24" s="524"/>
      <c r="G24" s="524"/>
      <c r="H24" s="524"/>
      <c r="I24" s="524"/>
    </row>
    <row r="26" spans="2:11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32737.03</v>
      </c>
    </row>
    <row r="27" spans="2:11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7'!B68</f>
        <v>357.45</v>
      </c>
      <c r="H27" s="361">
        <f>ROUND(K27+(K27*$I$15),2)</f>
        <v>1.43</v>
      </c>
      <c r="I27" s="361">
        <f t="shared" ref="I27:I35" si="0">ROUND(G27*H27,2)</f>
        <v>511.15</v>
      </c>
      <c r="K27" s="160">
        <v>1.17</v>
      </c>
    </row>
    <row r="28" spans="2:11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ROUND('MEMORIAL 7'!B75,2)</f>
        <v>357.45</v>
      </c>
      <c r="H28" s="361">
        <f>ROUND(K28+(K28*$I$15),2)</f>
        <v>50.13</v>
      </c>
      <c r="I28" s="361">
        <f t="shared" si="0"/>
        <v>17918.97</v>
      </c>
      <c r="K28" s="160">
        <f>'RUA 1'!K28</f>
        <v>41.08</v>
      </c>
    </row>
    <row r="29" spans="2:11">
      <c r="B29" s="176" t="s">
        <v>149</v>
      </c>
      <c r="C29" s="176" t="s">
        <v>150</v>
      </c>
      <c r="D29" s="176" t="s">
        <v>151</v>
      </c>
      <c r="E29" s="362" t="s">
        <v>369</v>
      </c>
      <c r="F29" s="242" t="s">
        <v>148</v>
      </c>
      <c r="G29" s="363">
        <f>'MEMORIAL 7'!F82</f>
        <v>130.79</v>
      </c>
      <c r="H29" s="363">
        <f t="shared" ref="H29:H35" si="1">ROUND(K29+(K29*$I$15),2)</f>
        <v>15.49</v>
      </c>
      <c r="I29" s="363">
        <f t="shared" si="0"/>
        <v>2025.94</v>
      </c>
      <c r="K29" s="160">
        <f>'RUA 1'!K29</f>
        <v>12.69</v>
      </c>
    </row>
    <row r="30" spans="2:11" ht="28.5" hidden="1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7'!B89</f>
        <v>0</v>
      </c>
      <c r="H30" s="361">
        <f t="shared" si="1"/>
        <v>15.49</v>
      </c>
      <c r="I30" s="361">
        <f t="shared" si="0"/>
        <v>0</v>
      </c>
      <c r="K30" s="160">
        <f>'RUA 1'!K30</f>
        <v>12.69</v>
      </c>
    </row>
    <row r="31" spans="2:11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7'!N100</f>
        <v>105.97</v>
      </c>
      <c r="H31" s="361">
        <f t="shared" si="1"/>
        <v>61.73</v>
      </c>
      <c r="I31" s="361">
        <f t="shared" si="0"/>
        <v>6541.53</v>
      </c>
      <c r="K31" s="160">
        <f>'RUA 1'!K31</f>
        <v>50.59</v>
      </c>
    </row>
    <row r="32" spans="2:11" ht="42.75">
      <c r="B32" s="176" t="s">
        <v>145</v>
      </c>
      <c r="C32" s="380" t="s">
        <v>362</v>
      </c>
      <c r="D32" s="176" t="s">
        <v>157</v>
      </c>
      <c r="E32" s="360" t="s">
        <v>413</v>
      </c>
      <c r="F32" s="176" t="s">
        <v>102</v>
      </c>
      <c r="G32" s="361">
        <f>ROUND('MEMORIAL 7'!B106,2)</f>
        <v>4</v>
      </c>
      <c r="H32" s="361">
        <f t="shared" si="1"/>
        <v>871.48</v>
      </c>
      <c r="I32" s="361">
        <f t="shared" si="0"/>
        <v>3485.92</v>
      </c>
      <c r="K32" s="160">
        <f>COMP!K163</f>
        <v>714.15</v>
      </c>
    </row>
    <row r="33" spans="2:33" ht="57" customHeight="1">
      <c r="B33" s="176" t="s">
        <v>145</v>
      </c>
      <c r="C33" s="380" t="s">
        <v>421</v>
      </c>
      <c r="D33" s="176" t="s">
        <v>159</v>
      </c>
      <c r="E33" s="360" t="str">
        <f>'RUA 1'!E33</f>
        <v>Piso tátil direcional e/ou alerta, de concreto, colorido, p/deficientes visuais, dimensões 25x25cm, aplicado com argamassa industrializada AC-II, rejuntado, exclusive regularização de base</v>
      </c>
      <c r="F33" s="176" t="s">
        <v>85</v>
      </c>
      <c r="G33" s="361">
        <f>'MEMORIAL 7'!C124</f>
        <v>24.7</v>
      </c>
      <c r="H33" s="361">
        <f t="shared" si="1"/>
        <v>82.39</v>
      </c>
      <c r="I33" s="361">
        <f t="shared" si="0"/>
        <v>2035.03</v>
      </c>
      <c r="K33" s="160">
        <f>COMP!K439</f>
        <v>67.52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7'!B131,2)</f>
        <v>39.24</v>
      </c>
      <c r="H34" s="361">
        <f t="shared" si="1"/>
        <v>1.04</v>
      </c>
      <c r="I34" s="361">
        <f t="shared" si="0"/>
        <v>40.81</v>
      </c>
      <c r="K34" s="160">
        <f>'RUA 1'!K34</f>
        <v>0.85</v>
      </c>
    </row>
    <row r="35" spans="2:33" ht="30" customHeight="1">
      <c r="B35" s="176" t="s">
        <v>161</v>
      </c>
      <c r="C35" s="364" t="s">
        <v>162</v>
      </c>
      <c r="D35" s="176" t="s">
        <v>365</v>
      </c>
      <c r="E35" s="362" t="s">
        <v>164</v>
      </c>
      <c r="F35" s="242" t="s">
        <v>85</v>
      </c>
      <c r="G35" s="361">
        <f>ROUND('MEMORIAL 7'!C147,2)</f>
        <v>0.56000000000000005</v>
      </c>
      <c r="H35" s="361">
        <f t="shared" si="1"/>
        <v>317.27999999999997</v>
      </c>
      <c r="I35" s="361">
        <f t="shared" si="0"/>
        <v>177.68</v>
      </c>
      <c r="K35" s="160">
        <f>'RUA 1'!K35</f>
        <v>260</v>
      </c>
    </row>
    <row r="36" spans="2:33">
      <c r="B36" s="562"/>
      <c r="C36" s="563"/>
      <c r="D36" s="563"/>
      <c r="E36" s="563"/>
      <c r="F36" s="563"/>
      <c r="G36" s="563"/>
      <c r="H36" s="563"/>
      <c r="I36" s="564"/>
    </row>
    <row r="37" spans="2:33" customFormat="1" ht="15"/>
    <row r="38" spans="2:33" s="197" customFormat="1" ht="15">
      <c r="B38" s="369" t="s">
        <v>127</v>
      </c>
      <c r="C38" s="369" t="s">
        <v>52</v>
      </c>
      <c r="D38" s="369" t="s">
        <v>165</v>
      </c>
      <c r="E38" s="565" t="s">
        <v>166</v>
      </c>
      <c r="F38" s="565"/>
      <c r="G38" s="565"/>
      <c r="H38" s="565"/>
      <c r="I38" s="370">
        <f>SUM(I39)</f>
        <v>139.41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>
      <c r="B39" s="372" t="s">
        <v>158</v>
      </c>
      <c r="C39" s="372">
        <v>84523</v>
      </c>
      <c r="D39" s="372" t="s">
        <v>167</v>
      </c>
      <c r="E39" s="373" t="s">
        <v>168</v>
      </c>
      <c r="F39" s="372" t="s">
        <v>85</v>
      </c>
      <c r="G39" s="374">
        <f>'MEMORIAL 7'!B155</f>
        <v>357.45</v>
      </c>
      <c r="H39" s="375">
        <f>ROUND(K39+(K39*$I$15),2)</f>
        <v>0.39</v>
      </c>
      <c r="I39" s="372">
        <f>ROUND(G39*H39,2)</f>
        <v>139.41</v>
      </c>
      <c r="K39" s="160">
        <v>0.32</v>
      </c>
    </row>
    <row r="40" spans="2:33">
      <c r="B40" s="524"/>
      <c r="C40" s="524"/>
      <c r="D40" s="524"/>
      <c r="E40" s="524"/>
      <c r="F40" s="524"/>
      <c r="G40" s="524"/>
      <c r="H40" s="524"/>
      <c r="I40" s="524"/>
    </row>
    <row r="41" spans="2:33">
      <c r="E41" s="245"/>
      <c r="G41" s="246"/>
      <c r="H41" s="234"/>
      <c r="I41" s="234"/>
    </row>
    <row r="42" spans="2:33">
      <c r="B42" s="518" t="s">
        <v>133</v>
      </c>
      <c r="C42" s="518"/>
      <c r="D42" s="518"/>
      <c r="E42" s="518"/>
      <c r="F42" s="518"/>
      <c r="G42" s="518"/>
      <c r="H42" s="518"/>
      <c r="I42" s="519">
        <f>I26+I20+I38-0.01</f>
        <v>33208.46</v>
      </c>
    </row>
    <row r="43" spans="2:33">
      <c r="B43" s="518"/>
      <c r="C43" s="518"/>
      <c r="D43" s="518"/>
      <c r="E43" s="518"/>
      <c r="F43" s="518"/>
      <c r="G43" s="518"/>
      <c r="H43" s="518"/>
      <c r="I43" s="519"/>
    </row>
    <row r="45" spans="2:33">
      <c r="B45" s="245"/>
    </row>
  </sheetData>
  <mergeCells count="28">
    <mergeCell ref="B15:C15"/>
    <mergeCell ref="D15:G15"/>
    <mergeCell ref="B1:I1"/>
    <mergeCell ref="B2:I2"/>
    <mergeCell ref="B3:I3"/>
    <mergeCell ref="B4:I4"/>
    <mergeCell ref="B5:I5"/>
    <mergeCell ref="B6:I6"/>
    <mergeCell ref="B7:I7"/>
    <mergeCell ref="B9:I9"/>
    <mergeCell ref="B10:I10"/>
    <mergeCell ref="C12:I12"/>
    <mergeCell ref="C13:I13"/>
    <mergeCell ref="E38:H38"/>
    <mergeCell ref="B40:I40"/>
    <mergeCell ref="B42:H43"/>
    <mergeCell ref="I42:I43"/>
    <mergeCell ref="H17:I17"/>
    <mergeCell ref="E20:H20"/>
    <mergeCell ref="B24:I24"/>
    <mergeCell ref="E26:H26"/>
    <mergeCell ref="B36:I36"/>
    <mergeCell ref="B17:B18"/>
    <mergeCell ref="C17:C18"/>
    <mergeCell ref="D17:D18"/>
    <mergeCell ref="E17:E18"/>
    <mergeCell ref="F17:F18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horizontalDpi="4294967293" vertic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2:AN155"/>
  <sheetViews>
    <sheetView view="pageBreakPreview" topLeftCell="A121" zoomScaleSheetLayoutView="100" workbookViewId="0">
      <selection activeCell="A108" sqref="A108:AI108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5" width="3.7109375" style="200" customWidth="1"/>
    <col min="6" max="6" width="5.140625" style="200" customWidth="1"/>
    <col min="7" max="8" width="3.7109375" style="200" customWidth="1"/>
    <col min="9" max="9" width="5.85546875" style="200" customWidth="1"/>
    <col min="10" max="13" width="3.7109375" style="200" customWidth="1"/>
    <col min="14" max="15" width="3.7109375" style="199" customWidth="1"/>
    <col min="16" max="18" width="3.7109375" style="200" customWidth="1"/>
    <col min="19" max="19" width="3.7109375" style="199" customWidth="1"/>
    <col min="20" max="34" width="3.71093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394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35" t="s">
        <v>171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0</v>
      </c>
      <c r="C10" s="543"/>
      <c r="D10" s="199" t="s">
        <v>148</v>
      </c>
      <c r="E10" s="198" t="s">
        <v>175</v>
      </c>
      <c r="F10" s="543">
        <f>AK10</f>
        <v>0</v>
      </c>
      <c r="G10" s="543"/>
      <c r="H10" s="199" t="s">
        <v>148</v>
      </c>
      <c r="I10" s="198" t="s">
        <v>176</v>
      </c>
      <c r="J10" s="543">
        <f>B10*F10</f>
        <v>0</v>
      </c>
      <c r="K10" s="543"/>
      <c r="L10" s="199" t="s">
        <v>85</v>
      </c>
      <c r="N10" s="198"/>
      <c r="O10" s="198"/>
      <c r="AJ10" s="201">
        <v>0</v>
      </c>
      <c r="AK10" s="201">
        <v>0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AJ74</f>
        <v>64.989999999999995</v>
      </c>
      <c r="C16" s="530"/>
      <c r="D16" s="200" t="s">
        <v>148</v>
      </c>
      <c r="E16" s="214" t="s">
        <v>175</v>
      </c>
      <c r="F16" s="205"/>
      <c r="G16" s="543">
        <f>AK74</f>
        <v>5.5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0">
      <c r="B17" s="204"/>
      <c r="C17" s="204"/>
      <c r="D17" s="204"/>
      <c r="E17" s="206"/>
      <c r="AJ17" s="201"/>
      <c r="AK17" s="202"/>
      <c r="AL17" s="202"/>
      <c r="AM17" s="203"/>
      <c r="AN17" s="203"/>
    </row>
    <row r="18" spans="1:40">
      <c r="A18" s="200" t="s">
        <v>185</v>
      </c>
      <c r="B18" s="204"/>
      <c r="C18" s="525">
        <f>B16*G16</f>
        <v>357.45</v>
      </c>
      <c r="D18" s="525"/>
      <c r="E18" s="525"/>
      <c r="F18" s="206" t="s">
        <v>85</v>
      </c>
      <c r="AJ18" s="201"/>
      <c r="AK18" s="202"/>
      <c r="AL18" s="202"/>
      <c r="AM18" s="203"/>
      <c r="AN18" s="203"/>
    </row>
    <row r="19" spans="1:40">
      <c r="F19" s="216"/>
      <c r="G19" s="216"/>
      <c r="N19" s="200"/>
      <c r="O19" s="200"/>
      <c r="S19" s="200"/>
      <c r="AJ19" s="201"/>
      <c r="AK19" s="202"/>
      <c r="AL19" s="202"/>
      <c r="AM19" s="203"/>
      <c r="AN19" s="203"/>
    </row>
    <row r="20" spans="1:40" ht="15">
      <c r="A20" s="542" t="s">
        <v>177</v>
      </c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201"/>
      <c r="AK20" s="202"/>
      <c r="AL20" s="202"/>
      <c r="AM20" s="203"/>
      <c r="AN20" s="203"/>
    </row>
    <row r="21" spans="1:40">
      <c r="AJ21" s="201"/>
      <c r="AK21" s="202"/>
      <c r="AL21" s="202"/>
      <c r="AM21" s="203"/>
      <c r="AN21" s="203"/>
    </row>
    <row r="22" spans="1:40">
      <c r="A22" s="530" t="s">
        <v>442</v>
      </c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530"/>
      <c r="AB22" s="530"/>
      <c r="AC22" s="530"/>
      <c r="AD22" s="530"/>
      <c r="AE22" s="530"/>
      <c r="AF22" s="530"/>
      <c r="AG22" s="530"/>
      <c r="AH22" s="530"/>
      <c r="AI22" s="530"/>
      <c r="AJ22" s="201"/>
      <c r="AK22" s="202"/>
      <c r="AL22" s="202"/>
      <c r="AM22" s="203"/>
      <c r="AN22" s="203"/>
    </row>
    <row r="23" spans="1:40">
      <c r="AJ23" s="201" t="s">
        <v>178</v>
      </c>
      <c r="AK23" s="202"/>
      <c r="AL23" s="202"/>
      <c r="AM23" s="203"/>
      <c r="AN23" s="203"/>
    </row>
    <row r="24" spans="1:40">
      <c r="A24" s="200" t="s">
        <v>179</v>
      </c>
      <c r="B24" s="543">
        <f>AJ24</f>
        <v>2</v>
      </c>
      <c r="C24" s="543"/>
      <c r="D24" s="200" t="s">
        <v>102</v>
      </c>
      <c r="AJ24" s="201">
        <v>2</v>
      </c>
      <c r="AK24" s="202"/>
      <c r="AL24" s="202"/>
      <c r="AM24" s="203"/>
      <c r="AN24" s="203"/>
    </row>
    <row r="25" spans="1:40">
      <c r="AJ25" s="201"/>
      <c r="AK25" s="202"/>
      <c r="AL25" s="202"/>
      <c r="AM25" s="203"/>
      <c r="AN25" s="203"/>
    </row>
    <row r="26" spans="1:40" s="197" customFormat="1" ht="15" hidden="1">
      <c r="A26" s="559" t="s">
        <v>232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559"/>
      <c r="S26" s="559"/>
      <c r="T26" s="559"/>
      <c r="U26" s="559"/>
      <c r="V26" s="559"/>
      <c r="W26" s="559"/>
      <c r="X26" s="559"/>
      <c r="Y26" s="559"/>
      <c r="Z26" s="559"/>
      <c r="AA26" s="559"/>
      <c r="AB26" s="559"/>
      <c r="AC26" s="559"/>
      <c r="AD26" s="559"/>
      <c r="AE26" s="559"/>
      <c r="AF26" s="559"/>
      <c r="AG26" s="559"/>
      <c r="AH26" s="559"/>
      <c r="AI26" s="559"/>
      <c r="AJ26" s="207"/>
      <c r="AK26" s="208"/>
      <c r="AL26" s="208"/>
      <c r="AM26" s="209"/>
      <c r="AN26" s="209"/>
    </row>
    <row r="27" spans="1:40" s="197" customFormat="1" hidden="1">
      <c r="N27" s="210"/>
      <c r="O27" s="210"/>
      <c r="S27" s="210"/>
      <c r="AJ27" s="207"/>
      <c r="AK27" s="208"/>
      <c r="AL27" s="208"/>
      <c r="AM27" s="209"/>
      <c r="AN27" s="209"/>
    </row>
    <row r="28" spans="1:40" s="197" customFormat="1" hidden="1">
      <c r="A28" s="558" t="s">
        <v>233</v>
      </c>
      <c r="B28" s="558"/>
      <c r="C28" s="558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558"/>
      <c r="T28" s="558"/>
      <c r="U28" s="558"/>
      <c r="V28" s="558"/>
      <c r="W28" s="558"/>
      <c r="X28" s="558"/>
      <c r="Y28" s="558"/>
      <c r="Z28" s="558"/>
      <c r="AA28" s="558"/>
      <c r="AB28" s="558"/>
      <c r="AC28" s="558"/>
      <c r="AD28" s="558"/>
      <c r="AE28" s="558"/>
      <c r="AF28" s="558"/>
      <c r="AG28" s="558"/>
      <c r="AH28" s="558"/>
      <c r="AI28" s="558"/>
      <c r="AJ28" s="207"/>
      <c r="AK28" s="208"/>
      <c r="AL28" s="208"/>
      <c r="AM28" s="209"/>
      <c r="AN28" s="209"/>
    </row>
    <row r="29" spans="1:40" s="197" customFormat="1" hidden="1">
      <c r="N29" s="210"/>
      <c r="O29" s="210"/>
      <c r="S29" s="210"/>
      <c r="AJ29" s="207" t="s">
        <v>234</v>
      </c>
      <c r="AK29" s="208"/>
      <c r="AL29" s="208"/>
      <c r="AM29" s="209"/>
      <c r="AN29" s="209"/>
    </row>
    <row r="30" spans="1:40" s="197" customFormat="1" hidden="1">
      <c r="A30" s="197" t="s">
        <v>235</v>
      </c>
      <c r="B30" s="560">
        <f>AJ30</f>
        <v>1</v>
      </c>
      <c r="C30" s="560"/>
      <c r="D30" s="558" t="s">
        <v>102</v>
      </c>
      <c r="E30" s="558"/>
      <c r="N30" s="210"/>
      <c r="O30" s="210"/>
      <c r="S30" s="210"/>
      <c r="AJ30" s="207">
        <v>1</v>
      </c>
      <c r="AK30" s="208"/>
      <c r="AL30" s="208"/>
      <c r="AM30" s="209"/>
      <c r="AN30" s="209"/>
    </row>
    <row r="31" spans="1:40" s="197" customFormat="1" hidden="1">
      <c r="N31" s="210"/>
      <c r="O31" s="210"/>
      <c r="S31" s="210"/>
      <c r="AJ31" s="207"/>
      <c r="AK31" s="208"/>
      <c r="AL31" s="208"/>
      <c r="AM31" s="209"/>
      <c r="AN31" s="209"/>
    </row>
    <row r="32" spans="1:40" s="197" customFormat="1" hidden="1">
      <c r="N32" s="210"/>
      <c r="O32" s="210"/>
      <c r="S32" s="210"/>
      <c r="AJ32" s="207"/>
      <c r="AK32" s="208"/>
      <c r="AL32" s="208"/>
      <c r="AM32" s="209"/>
      <c r="AN32" s="209"/>
    </row>
    <row r="33" spans="1:40" s="197" customFormat="1" ht="15" hidden="1">
      <c r="A33" s="559" t="s">
        <v>236</v>
      </c>
      <c r="B33" s="559"/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9"/>
      <c r="V33" s="559"/>
      <c r="W33" s="559"/>
      <c r="X33" s="559"/>
      <c r="Y33" s="559"/>
      <c r="Z33" s="559"/>
      <c r="AA33" s="559"/>
      <c r="AB33" s="559"/>
      <c r="AC33" s="559"/>
      <c r="AD33" s="559"/>
      <c r="AE33" s="559"/>
      <c r="AF33" s="559"/>
      <c r="AG33" s="559"/>
      <c r="AH33" s="559"/>
      <c r="AI33" s="559"/>
      <c r="AJ33" s="207"/>
      <c r="AK33" s="208"/>
      <c r="AL33" s="208"/>
      <c r="AM33" s="209"/>
      <c r="AN33" s="209"/>
    </row>
    <row r="34" spans="1:40" s="197" customFormat="1" hidden="1">
      <c r="N34" s="210"/>
      <c r="O34" s="210"/>
      <c r="S34" s="210"/>
      <c r="AJ34" s="207"/>
      <c r="AK34" s="208"/>
      <c r="AL34" s="208"/>
      <c r="AM34" s="209"/>
      <c r="AN34" s="209"/>
    </row>
    <row r="35" spans="1:40" s="197" customFormat="1" hidden="1">
      <c r="A35" s="558" t="s">
        <v>233</v>
      </c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8"/>
      <c r="S35" s="558"/>
      <c r="T35" s="558"/>
      <c r="U35" s="558"/>
      <c r="V35" s="558"/>
      <c r="W35" s="558"/>
      <c r="X35" s="558"/>
      <c r="Y35" s="558"/>
      <c r="Z35" s="558"/>
      <c r="AA35" s="558"/>
      <c r="AB35" s="558"/>
      <c r="AC35" s="558"/>
      <c r="AD35" s="558"/>
      <c r="AE35" s="558"/>
      <c r="AF35" s="558"/>
      <c r="AG35" s="558"/>
      <c r="AH35" s="558"/>
      <c r="AI35" s="558"/>
      <c r="AJ35" s="207"/>
      <c r="AK35" s="208"/>
      <c r="AL35" s="208"/>
      <c r="AM35" s="209"/>
      <c r="AN35" s="209"/>
    </row>
    <row r="36" spans="1:40" s="197" customFormat="1" hidden="1">
      <c r="G36" s="197" t="e">
        <f>'MEMORIAL 7'!B20:D148</f>
        <v>#VALUE!</v>
      </c>
      <c r="N36" s="210"/>
      <c r="O36" s="210"/>
      <c r="S36" s="210"/>
      <c r="AJ36" s="207" t="s">
        <v>234</v>
      </c>
      <c r="AK36" s="208"/>
      <c r="AL36" s="208"/>
      <c r="AM36" s="209"/>
      <c r="AN36" s="209"/>
    </row>
    <row r="37" spans="1:40" s="197" customFormat="1" hidden="1">
      <c r="A37" s="197" t="s">
        <v>235</v>
      </c>
      <c r="B37" s="560">
        <f>AJ37</f>
        <v>1</v>
      </c>
      <c r="C37" s="560"/>
      <c r="D37" s="558" t="s">
        <v>102</v>
      </c>
      <c r="E37" s="558"/>
      <c r="N37" s="210"/>
      <c r="O37" s="210"/>
      <c r="S37" s="210"/>
      <c r="AJ37" s="207">
        <v>1</v>
      </c>
      <c r="AK37" s="208"/>
      <c r="AL37" s="208"/>
      <c r="AM37" s="209"/>
      <c r="AN37" s="209"/>
    </row>
    <row r="38" spans="1:40" s="197" customFormat="1" hidden="1">
      <c r="N38" s="210"/>
      <c r="O38" s="210"/>
      <c r="S38" s="210"/>
      <c r="AJ38" s="207"/>
      <c r="AK38" s="208"/>
      <c r="AL38" s="208"/>
      <c r="AM38" s="209"/>
      <c r="AN38" s="209"/>
    </row>
    <row r="39" spans="1:40" s="197" customFormat="1" hidden="1">
      <c r="N39" s="210"/>
      <c r="O39" s="210"/>
      <c r="S39" s="210"/>
      <c r="AJ39" s="207"/>
      <c r="AK39" s="208"/>
      <c r="AL39" s="208"/>
      <c r="AM39" s="209"/>
      <c r="AN39" s="209"/>
    </row>
    <row r="40" spans="1:40" s="197" customFormat="1" ht="15" hidden="1">
      <c r="A40" s="559" t="s">
        <v>237</v>
      </c>
      <c r="B40" s="559"/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  <c r="AB40" s="559"/>
      <c r="AC40" s="559"/>
      <c r="AD40" s="559"/>
      <c r="AE40" s="559"/>
      <c r="AF40" s="559"/>
      <c r="AG40" s="559"/>
      <c r="AH40" s="559"/>
      <c r="AI40" s="559"/>
      <c r="AJ40" s="207"/>
      <c r="AK40" s="208"/>
      <c r="AL40" s="208"/>
      <c r="AM40" s="209"/>
      <c r="AN40" s="209"/>
    </row>
    <row r="41" spans="1:40" s="197" customFormat="1" hidden="1">
      <c r="N41" s="210"/>
      <c r="O41" s="210"/>
      <c r="S41" s="210"/>
      <c r="AJ41" s="207"/>
      <c r="AK41" s="208"/>
      <c r="AL41" s="208"/>
      <c r="AM41" s="209"/>
      <c r="AN41" s="209"/>
    </row>
    <row r="42" spans="1:40" s="197" customFormat="1" hidden="1">
      <c r="A42" s="558" t="s">
        <v>233</v>
      </c>
      <c r="B42" s="558"/>
      <c r="C42" s="558"/>
      <c r="D42" s="558"/>
      <c r="E42" s="558"/>
      <c r="F42" s="558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8"/>
      <c r="S42" s="558"/>
      <c r="T42" s="558"/>
      <c r="U42" s="558"/>
      <c r="V42" s="558"/>
      <c r="W42" s="558"/>
      <c r="X42" s="558"/>
      <c r="Y42" s="558"/>
      <c r="Z42" s="558"/>
      <c r="AA42" s="558"/>
      <c r="AB42" s="558"/>
      <c r="AC42" s="558"/>
      <c r="AD42" s="558"/>
      <c r="AE42" s="558"/>
      <c r="AF42" s="558"/>
      <c r="AG42" s="558"/>
      <c r="AH42" s="558"/>
      <c r="AI42" s="558"/>
      <c r="AJ42" s="207"/>
      <c r="AK42" s="208"/>
      <c r="AL42" s="208"/>
      <c r="AM42" s="209"/>
      <c r="AN42" s="209"/>
    </row>
    <row r="43" spans="1:40" s="197" customFormat="1" hidden="1">
      <c r="N43" s="210"/>
      <c r="O43" s="210"/>
      <c r="S43" s="210"/>
      <c r="AJ43" s="207" t="s">
        <v>234</v>
      </c>
      <c r="AK43" s="208"/>
      <c r="AL43" s="208"/>
      <c r="AM43" s="209"/>
      <c r="AN43" s="209"/>
    </row>
    <row r="44" spans="1:40" s="197" customFormat="1" hidden="1">
      <c r="A44" s="197" t="s">
        <v>235</v>
      </c>
      <c r="B44" s="560">
        <f>AJ44</f>
        <v>1</v>
      </c>
      <c r="C44" s="560"/>
      <c r="D44" s="558" t="s">
        <v>102</v>
      </c>
      <c r="E44" s="558"/>
      <c r="N44" s="210"/>
      <c r="O44" s="210"/>
      <c r="S44" s="210"/>
      <c r="AJ44" s="207">
        <v>1</v>
      </c>
      <c r="AK44" s="208"/>
      <c r="AL44" s="208"/>
      <c r="AM44" s="209"/>
      <c r="AN44" s="209"/>
    </row>
    <row r="45" spans="1:40" s="197" customFormat="1" hidden="1">
      <c r="N45" s="210"/>
      <c r="O45" s="210"/>
      <c r="S45" s="210"/>
      <c r="AJ45" s="211"/>
      <c r="AK45" s="208"/>
      <c r="AL45" s="208"/>
      <c r="AM45" s="209"/>
      <c r="AN45" s="209"/>
    </row>
    <row r="46" spans="1:40" s="197" customFormat="1" hidden="1">
      <c r="N46" s="210"/>
      <c r="O46" s="210"/>
      <c r="S46" s="210"/>
      <c r="AJ46" s="211"/>
      <c r="AK46" s="208"/>
      <c r="AL46" s="208"/>
      <c r="AM46" s="209"/>
      <c r="AN46" s="209"/>
    </row>
    <row r="47" spans="1:40" s="197" customFormat="1" ht="15" hidden="1">
      <c r="A47" s="559" t="s">
        <v>238</v>
      </c>
      <c r="B47" s="559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211"/>
      <c r="AK47" s="208"/>
      <c r="AL47" s="208"/>
      <c r="AM47" s="209"/>
      <c r="AN47" s="209"/>
    </row>
    <row r="48" spans="1:40" s="197" customFormat="1" hidden="1">
      <c r="N48" s="210"/>
      <c r="O48" s="210"/>
      <c r="S48" s="210"/>
      <c r="AJ48" s="211"/>
      <c r="AK48" s="208"/>
      <c r="AL48" s="208"/>
      <c r="AM48" s="209"/>
      <c r="AN48" s="209"/>
    </row>
    <row r="49" spans="1:40" s="197" customFormat="1" hidden="1">
      <c r="A49" s="558" t="s">
        <v>233</v>
      </c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8"/>
      <c r="AE49" s="558"/>
      <c r="AF49" s="558"/>
      <c r="AG49" s="558"/>
      <c r="AH49" s="558"/>
      <c r="AI49" s="558"/>
      <c r="AJ49" s="211"/>
      <c r="AK49" s="208"/>
      <c r="AL49" s="208"/>
      <c r="AM49" s="209"/>
      <c r="AN49" s="209"/>
    </row>
    <row r="50" spans="1:40" s="197" customFormat="1" hidden="1">
      <c r="N50" s="210"/>
      <c r="O50" s="210"/>
      <c r="S50" s="210"/>
      <c r="AJ50" s="207" t="s">
        <v>234</v>
      </c>
      <c r="AK50" s="208"/>
      <c r="AL50" s="208"/>
      <c r="AM50" s="209"/>
      <c r="AN50" s="209"/>
    </row>
    <row r="51" spans="1:40" s="197" customFormat="1" hidden="1">
      <c r="A51" s="197" t="s">
        <v>235</v>
      </c>
      <c r="B51" s="560">
        <f>AJ51</f>
        <v>1</v>
      </c>
      <c r="C51" s="560"/>
      <c r="D51" s="558" t="s">
        <v>102</v>
      </c>
      <c r="E51" s="558"/>
      <c r="N51" s="210"/>
      <c r="O51" s="210"/>
      <c r="S51" s="210"/>
      <c r="AJ51" s="207">
        <v>1</v>
      </c>
      <c r="AK51" s="208"/>
      <c r="AL51" s="208"/>
      <c r="AM51" s="209"/>
      <c r="AN51" s="209"/>
    </row>
    <row r="52" spans="1:40" s="197" customFormat="1" hidden="1">
      <c r="N52" s="210"/>
      <c r="O52" s="210"/>
      <c r="S52" s="210"/>
      <c r="AJ52" s="207"/>
      <c r="AK52" s="208"/>
      <c r="AL52" s="208"/>
      <c r="AM52" s="209"/>
      <c r="AN52" s="209"/>
    </row>
    <row r="53" spans="1:40" s="197" customFormat="1" hidden="1">
      <c r="N53" s="210"/>
      <c r="O53" s="210"/>
      <c r="S53" s="210"/>
      <c r="AJ53" s="207"/>
      <c r="AK53" s="208"/>
      <c r="AL53" s="208"/>
      <c r="AM53" s="209"/>
      <c r="AN53" s="209"/>
    </row>
    <row r="54" spans="1:40" s="197" customFormat="1" ht="15" hidden="1">
      <c r="A54" s="559" t="s">
        <v>239</v>
      </c>
      <c r="B54" s="559"/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P54" s="559"/>
      <c r="Q54" s="559"/>
      <c r="R54" s="559"/>
      <c r="S54" s="559"/>
      <c r="T54" s="559"/>
      <c r="U54" s="559"/>
      <c r="V54" s="559"/>
      <c r="W54" s="559"/>
      <c r="X54" s="559"/>
      <c r="Y54" s="559"/>
      <c r="Z54" s="559"/>
      <c r="AA54" s="559"/>
      <c r="AB54" s="559"/>
      <c r="AC54" s="559"/>
      <c r="AD54" s="559"/>
      <c r="AE54" s="559"/>
      <c r="AF54" s="559"/>
      <c r="AG54" s="559"/>
      <c r="AH54" s="559"/>
      <c r="AI54" s="559"/>
      <c r="AJ54" s="207"/>
      <c r="AK54" s="208"/>
      <c r="AL54" s="208"/>
      <c r="AM54" s="209"/>
      <c r="AN54" s="209"/>
    </row>
    <row r="55" spans="1:40" s="197" customFormat="1" hidden="1">
      <c r="N55" s="210"/>
      <c r="O55" s="210"/>
      <c r="S55" s="210"/>
      <c r="AJ55" s="207"/>
      <c r="AK55" s="208"/>
      <c r="AL55" s="208"/>
      <c r="AM55" s="209"/>
      <c r="AN55" s="209"/>
    </row>
    <row r="56" spans="1:40" s="197" customFormat="1" hidden="1">
      <c r="A56" s="558" t="s">
        <v>233</v>
      </c>
      <c r="B56" s="558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207"/>
      <c r="AK56" s="208"/>
      <c r="AL56" s="208"/>
      <c r="AM56" s="209"/>
      <c r="AN56" s="209"/>
    </row>
    <row r="57" spans="1:40" s="197" customFormat="1" hidden="1">
      <c r="N57" s="210"/>
      <c r="O57" s="210"/>
      <c r="S57" s="210"/>
      <c r="AJ57" s="207" t="s">
        <v>234</v>
      </c>
      <c r="AK57" s="208"/>
      <c r="AL57" s="208"/>
      <c r="AM57" s="209"/>
      <c r="AN57" s="209"/>
    </row>
    <row r="58" spans="1:40" s="197" customFormat="1" hidden="1">
      <c r="A58" s="197" t="s">
        <v>235</v>
      </c>
      <c r="B58" s="560">
        <f>AJ58</f>
        <v>1</v>
      </c>
      <c r="C58" s="560"/>
      <c r="D58" s="558" t="s">
        <v>102</v>
      </c>
      <c r="E58" s="558"/>
      <c r="N58" s="210"/>
      <c r="O58" s="210"/>
      <c r="S58" s="210"/>
      <c r="AJ58" s="207">
        <v>1</v>
      </c>
      <c r="AK58" s="208"/>
      <c r="AL58" s="208"/>
      <c r="AM58" s="209"/>
      <c r="AN58" s="209"/>
    </row>
    <row r="59" spans="1:40" s="197" customFormat="1" hidden="1">
      <c r="N59" s="210"/>
      <c r="O59" s="210"/>
      <c r="S59" s="210"/>
      <c r="AJ59" s="207"/>
      <c r="AK59" s="208"/>
      <c r="AL59" s="208"/>
      <c r="AM59" s="209"/>
      <c r="AN59" s="209"/>
    </row>
    <row r="60" spans="1:40" s="197" customFormat="1" hidden="1">
      <c r="N60" s="210"/>
      <c r="O60" s="210"/>
      <c r="S60" s="210"/>
      <c r="AJ60" s="207"/>
      <c r="AK60" s="208"/>
      <c r="AL60" s="208"/>
      <c r="AM60" s="209"/>
      <c r="AN60" s="209"/>
    </row>
    <row r="61" spans="1:40" ht="15">
      <c r="A61" s="539" t="s">
        <v>180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1"/>
      <c r="AJ61" s="201"/>
      <c r="AK61" s="202"/>
      <c r="AL61" s="202"/>
      <c r="AM61" s="203"/>
      <c r="AN61" s="203"/>
    </row>
    <row r="62" spans="1:40">
      <c r="AJ62" s="201"/>
      <c r="AK62" s="202"/>
      <c r="AL62" s="202"/>
      <c r="AM62" s="203"/>
      <c r="AN62" s="203"/>
    </row>
    <row r="63" spans="1:40" ht="15">
      <c r="A63" s="542" t="s">
        <v>409</v>
      </c>
      <c r="B63" s="542"/>
      <c r="C63" s="542"/>
      <c r="D63" s="542"/>
      <c r="E63" s="542"/>
      <c r="F63" s="542"/>
      <c r="G63" s="542"/>
      <c r="H63" s="542"/>
      <c r="I63" s="542"/>
      <c r="J63" s="542"/>
      <c r="K63" s="542"/>
      <c r="L63" s="542"/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  <c r="X63" s="542"/>
      <c r="Y63" s="542"/>
      <c r="Z63" s="542"/>
      <c r="AA63" s="542"/>
      <c r="AB63" s="542"/>
      <c r="AC63" s="542"/>
      <c r="AD63" s="542"/>
      <c r="AE63" s="542"/>
      <c r="AF63" s="542"/>
      <c r="AG63" s="542"/>
      <c r="AH63" s="542"/>
      <c r="AI63" s="542"/>
      <c r="AJ63" s="201"/>
      <c r="AK63" s="202"/>
      <c r="AL63" s="202"/>
      <c r="AM63" s="203"/>
      <c r="AN63" s="203"/>
    </row>
    <row r="64" spans="1:40">
      <c r="AJ64" s="201"/>
      <c r="AK64" s="202"/>
      <c r="AL64" s="202"/>
      <c r="AM64" s="203"/>
      <c r="AN64" s="203"/>
    </row>
    <row r="65" spans="1:40">
      <c r="A65" s="530" t="s">
        <v>248</v>
      </c>
      <c r="B65" s="530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0"/>
      <c r="S65" s="530"/>
      <c r="T65" s="530"/>
      <c r="U65" s="530"/>
      <c r="V65" s="530"/>
      <c r="W65" s="530"/>
      <c r="X65" s="530"/>
      <c r="Y65" s="530"/>
      <c r="Z65" s="530"/>
      <c r="AA65" s="530"/>
      <c r="AB65" s="530"/>
      <c r="AC65" s="530"/>
      <c r="AD65" s="530"/>
      <c r="AE65" s="530"/>
      <c r="AF65" s="530"/>
      <c r="AG65" s="530"/>
      <c r="AH65" s="530"/>
      <c r="AI65" s="530"/>
      <c r="AJ65" s="201"/>
      <c r="AK65" s="202"/>
      <c r="AL65" s="202"/>
      <c r="AM65" s="203"/>
      <c r="AN65" s="203"/>
    </row>
    <row r="66" spans="1:40">
      <c r="A66" s="526"/>
      <c r="B66" s="526"/>
      <c r="C66" s="526"/>
      <c r="D66" s="526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526"/>
      <c r="P66" s="526"/>
      <c r="Q66" s="526"/>
      <c r="R66" s="526"/>
      <c r="S66" s="526"/>
      <c r="T66" s="526"/>
      <c r="U66" s="526"/>
      <c r="V66" s="526"/>
      <c r="W66" s="526"/>
      <c r="X66" s="526"/>
      <c r="Y66" s="526"/>
      <c r="Z66" s="526"/>
      <c r="AA66" s="526"/>
      <c r="AB66" s="526"/>
      <c r="AC66" s="526"/>
      <c r="AD66" s="526"/>
      <c r="AE66" s="526"/>
      <c r="AF66" s="526"/>
      <c r="AG66" s="526"/>
      <c r="AH66" s="526"/>
      <c r="AI66" s="526"/>
      <c r="AJ66" s="212"/>
      <c r="AK66" s="212"/>
      <c r="AL66" s="212"/>
      <c r="AM66" s="213"/>
      <c r="AN66" s="203"/>
    </row>
    <row r="67" spans="1:40">
      <c r="A67" s="200" t="s">
        <v>174</v>
      </c>
      <c r="B67" s="543">
        <f>AJ74</f>
        <v>64.989999999999995</v>
      </c>
      <c r="C67" s="530"/>
      <c r="D67" s="200" t="s">
        <v>148</v>
      </c>
      <c r="E67" s="214" t="s">
        <v>175</v>
      </c>
      <c r="F67" s="205"/>
      <c r="G67" s="543">
        <f>AK74</f>
        <v>5.5</v>
      </c>
      <c r="H67" s="543"/>
      <c r="I67" s="200" t="s">
        <v>148</v>
      </c>
      <c r="J67" s="214"/>
      <c r="K67" s="199"/>
      <c r="L67" s="199"/>
      <c r="N67" s="198"/>
      <c r="P67" s="199"/>
      <c r="AJ67" s="201"/>
      <c r="AK67" s="201"/>
      <c r="AL67" s="201"/>
      <c r="AM67" s="201"/>
      <c r="AN67" s="203"/>
    </row>
    <row r="68" spans="1:40">
      <c r="A68" s="200" t="s">
        <v>174</v>
      </c>
      <c r="B68" s="532">
        <f>B67*G67</f>
        <v>357.45</v>
      </c>
      <c r="C68" s="532"/>
      <c r="D68" s="532"/>
      <c r="E68" s="206" t="s">
        <v>85</v>
      </c>
      <c r="AJ68" s="201"/>
      <c r="AK68" s="202"/>
      <c r="AL68" s="202"/>
      <c r="AM68" s="203"/>
      <c r="AN68" s="203"/>
    </row>
    <row r="69" spans="1:40">
      <c r="F69" s="216"/>
      <c r="G69" s="216"/>
      <c r="N69" s="200"/>
      <c r="O69" s="200"/>
      <c r="S69" s="200"/>
      <c r="AJ69" s="201"/>
      <c r="AK69" s="202"/>
      <c r="AL69" s="202"/>
      <c r="AM69" s="203"/>
      <c r="AN69" s="203"/>
    </row>
    <row r="70" spans="1:40" ht="13.5" customHeight="1">
      <c r="A70" s="544" t="s">
        <v>372</v>
      </c>
      <c r="B70" s="544"/>
      <c r="C70" s="544"/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  <c r="Q70" s="544"/>
      <c r="R70" s="544"/>
      <c r="S70" s="544"/>
      <c r="T70" s="544"/>
      <c r="U70" s="544"/>
      <c r="V70" s="544"/>
      <c r="W70" s="544"/>
      <c r="X70" s="544"/>
      <c r="Y70" s="544"/>
      <c r="Z70" s="544"/>
      <c r="AA70" s="544"/>
      <c r="AB70" s="544"/>
      <c r="AC70" s="544"/>
      <c r="AD70" s="544"/>
      <c r="AE70" s="544"/>
      <c r="AF70" s="544"/>
      <c r="AG70" s="544"/>
      <c r="AH70" s="544"/>
      <c r="AI70" s="544"/>
      <c r="AJ70" s="201"/>
      <c r="AK70" s="202"/>
      <c r="AL70" s="202"/>
      <c r="AM70" s="203"/>
      <c r="AN70" s="203"/>
    </row>
    <row r="71" spans="1:40">
      <c r="AJ71" s="201"/>
      <c r="AK71" s="202"/>
      <c r="AL71" s="202"/>
      <c r="AM71" s="203"/>
      <c r="AN71" s="203"/>
    </row>
    <row r="72" spans="1:40">
      <c r="A72" s="530" t="s">
        <v>390</v>
      </c>
      <c r="B72" s="530"/>
      <c r="C72" s="530"/>
      <c r="D72" s="530"/>
      <c r="E72" s="530"/>
      <c r="F72" s="530"/>
      <c r="G72" s="530"/>
      <c r="H72" s="530"/>
      <c r="I72" s="530"/>
      <c r="J72" s="530"/>
      <c r="K72" s="530"/>
      <c r="L72" s="530"/>
      <c r="M72" s="530"/>
      <c r="N72" s="530"/>
      <c r="O72" s="530"/>
      <c r="P72" s="530"/>
      <c r="Q72" s="530"/>
      <c r="R72" s="530"/>
      <c r="S72" s="530"/>
      <c r="T72" s="530"/>
      <c r="U72" s="530"/>
      <c r="V72" s="530"/>
      <c r="W72" s="530"/>
      <c r="X72" s="530"/>
      <c r="Y72" s="530"/>
      <c r="Z72" s="530"/>
      <c r="AA72" s="530"/>
      <c r="AB72" s="530"/>
      <c r="AC72" s="530"/>
      <c r="AD72" s="530"/>
      <c r="AE72" s="530"/>
      <c r="AF72" s="530"/>
      <c r="AG72" s="530"/>
      <c r="AH72" s="530"/>
      <c r="AI72" s="530"/>
      <c r="AJ72" s="201"/>
      <c r="AK72" s="202"/>
      <c r="AL72" s="202"/>
      <c r="AM72" s="203"/>
      <c r="AN72" s="203"/>
    </row>
    <row r="73" spans="1:40">
      <c r="AJ73" s="212" t="s">
        <v>181</v>
      </c>
      <c r="AK73" s="212" t="s">
        <v>182</v>
      </c>
      <c r="AL73" s="212" t="s">
        <v>183</v>
      </c>
      <c r="AM73" s="213" t="s">
        <v>184</v>
      </c>
      <c r="AN73" s="203"/>
    </row>
    <row r="74" spans="1:40">
      <c r="A74" s="200" t="s">
        <v>174</v>
      </c>
      <c r="B74" s="543">
        <f>AJ74</f>
        <v>64.989999999999995</v>
      </c>
      <c r="C74" s="543"/>
      <c r="D74" s="200" t="s">
        <v>148</v>
      </c>
      <c r="E74" s="214" t="s">
        <v>175</v>
      </c>
      <c r="F74" s="205"/>
      <c r="G74" s="543">
        <f>AK74</f>
        <v>5.5</v>
      </c>
      <c r="H74" s="543"/>
      <c r="I74" s="200" t="s">
        <v>148</v>
      </c>
      <c r="J74" s="214"/>
      <c r="K74" s="199"/>
      <c r="L74" s="199"/>
      <c r="N74" s="198"/>
      <c r="P74" s="199"/>
      <c r="AJ74" s="201">
        <v>64.989999999999995</v>
      </c>
      <c r="AK74" s="201">
        <v>5.5</v>
      </c>
      <c r="AL74" s="201">
        <v>1.35</v>
      </c>
      <c r="AM74" s="201">
        <v>1.35</v>
      </c>
      <c r="AN74" s="203"/>
    </row>
    <row r="75" spans="1:40">
      <c r="A75" s="200" t="s">
        <v>174</v>
      </c>
      <c r="B75" s="543">
        <f>(B74*G74)</f>
        <v>357.45</v>
      </c>
      <c r="C75" s="543"/>
      <c r="D75" s="543"/>
      <c r="E75" s="200" t="s">
        <v>85</v>
      </c>
      <c r="AJ75" s="201"/>
      <c r="AK75" s="202"/>
      <c r="AL75" s="202"/>
      <c r="AM75" s="203"/>
      <c r="AN75" s="203"/>
    </row>
    <row r="76" spans="1:40">
      <c r="AJ76" s="201"/>
      <c r="AK76" s="202">
        <f>AJ74*AK74</f>
        <v>357.45</v>
      </c>
      <c r="AL76" s="202"/>
      <c r="AM76" s="203"/>
      <c r="AN76" s="203"/>
    </row>
    <row r="77" spans="1:40" ht="14.25" customHeight="1">
      <c r="A77" s="544" t="s">
        <v>383</v>
      </c>
      <c r="B77" s="544"/>
      <c r="C77" s="544"/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  <c r="R77" s="544"/>
      <c r="S77" s="544"/>
      <c r="T77" s="544"/>
      <c r="U77" s="544"/>
      <c r="V77" s="544"/>
      <c r="W77" s="544"/>
      <c r="X77" s="544"/>
      <c r="Y77" s="544"/>
      <c r="Z77" s="544"/>
      <c r="AA77" s="544"/>
      <c r="AB77" s="544"/>
      <c r="AC77" s="544"/>
      <c r="AD77" s="544"/>
      <c r="AE77" s="544"/>
      <c r="AF77" s="544"/>
      <c r="AG77" s="544"/>
      <c r="AH77" s="544"/>
      <c r="AI77" s="544"/>
      <c r="AJ77" s="201"/>
      <c r="AK77" s="202"/>
      <c r="AL77" s="202"/>
      <c r="AM77" s="203"/>
      <c r="AN77" s="203"/>
    </row>
    <row r="78" spans="1:40">
      <c r="AJ78" s="201"/>
      <c r="AK78" s="202"/>
      <c r="AL78" s="202"/>
      <c r="AM78" s="203"/>
      <c r="AN78" s="203"/>
    </row>
    <row r="79" spans="1:40">
      <c r="A79" s="526" t="s">
        <v>188</v>
      </c>
      <c r="B79" s="526"/>
      <c r="C79" s="526"/>
      <c r="D79" s="526"/>
      <c r="F79" s="531">
        <v>66.13</v>
      </c>
      <c r="G79" s="531"/>
      <c r="H79" s="200" t="s">
        <v>148</v>
      </c>
      <c r="AJ79" s="201"/>
      <c r="AK79" s="202"/>
      <c r="AL79" s="202"/>
      <c r="AM79" s="203"/>
      <c r="AN79" s="203"/>
    </row>
    <row r="80" spans="1:40">
      <c r="A80" s="526" t="s">
        <v>189</v>
      </c>
      <c r="B80" s="526"/>
      <c r="C80" s="526"/>
      <c r="D80" s="526"/>
      <c r="F80" s="531">
        <v>64.66</v>
      </c>
      <c r="G80" s="531"/>
      <c r="H80" s="200" t="s">
        <v>148</v>
      </c>
      <c r="N80" s="200"/>
      <c r="O80" s="200"/>
      <c r="P80" s="199"/>
      <c r="Q80" s="199"/>
      <c r="S80" s="200"/>
      <c r="U80" s="199"/>
      <c r="AJ80" s="201"/>
      <c r="AK80" s="202"/>
      <c r="AL80" s="202"/>
      <c r="AM80" s="203"/>
      <c r="AN80" s="203"/>
    </row>
    <row r="81" spans="1:40">
      <c r="A81" s="215"/>
      <c r="B81" s="215"/>
      <c r="C81" s="215"/>
      <c r="D81" s="215"/>
      <c r="F81" s="216"/>
      <c r="G81" s="216"/>
      <c r="N81" s="200"/>
      <c r="O81" s="200"/>
      <c r="P81" s="199"/>
      <c r="Q81" s="199"/>
      <c r="S81" s="200"/>
      <c r="U81" s="199"/>
      <c r="AJ81" s="201"/>
      <c r="AK81" s="202"/>
      <c r="AL81" s="202"/>
      <c r="AM81" s="203"/>
      <c r="AN81" s="203"/>
    </row>
    <row r="82" spans="1:40">
      <c r="A82" s="215" t="s">
        <v>191</v>
      </c>
      <c r="B82" s="215"/>
      <c r="C82" s="215"/>
      <c r="D82" s="215"/>
      <c r="F82" s="531">
        <f>SUM(F79:G81)</f>
        <v>130.79</v>
      </c>
      <c r="G82" s="531"/>
      <c r="H82" s="200" t="s">
        <v>148</v>
      </c>
      <c r="N82" s="200"/>
      <c r="O82" s="200"/>
      <c r="P82" s="199"/>
      <c r="Q82" s="199"/>
      <c r="S82" s="200"/>
      <c r="U82" s="199"/>
      <c r="AJ82" s="201"/>
      <c r="AK82" s="202"/>
      <c r="AL82" s="202"/>
      <c r="AM82" s="203"/>
      <c r="AN82" s="203"/>
    </row>
    <row r="83" spans="1:40">
      <c r="AJ83" s="201"/>
      <c r="AK83" s="202"/>
      <c r="AL83" s="202"/>
      <c r="AM83" s="203"/>
      <c r="AN83" s="203"/>
    </row>
    <row r="84" spans="1:40" ht="15" hidden="1">
      <c r="A84" s="542" t="s">
        <v>422</v>
      </c>
      <c r="B84" s="542"/>
      <c r="C84" s="542"/>
      <c r="D84" s="542"/>
      <c r="E84" s="542"/>
      <c r="F84" s="542"/>
      <c r="G84" s="542"/>
      <c r="H84" s="542"/>
      <c r="I84" s="542"/>
      <c r="J84" s="542"/>
      <c r="K84" s="542"/>
      <c r="L84" s="542"/>
      <c r="M84" s="542"/>
      <c r="N84" s="542"/>
      <c r="O84" s="542"/>
      <c r="P84" s="542"/>
      <c r="Q84" s="542"/>
      <c r="R84" s="542"/>
      <c r="S84" s="542"/>
      <c r="T84" s="542"/>
      <c r="U84" s="542"/>
      <c r="V84" s="542"/>
      <c r="W84" s="542"/>
      <c r="X84" s="542"/>
      <c r="Y84" s="542"/>
      <c r="Z84" s="542"/>
      <c r="AA84" s="542"/>
      <c r="AB84" s="542"/>
      <c r="AC84" s="542"/>
      <c r="AD84" s="542"/>
      <c r="AE84" s="542"/>
      <c r="AF84" s="542"/>
      <c r="AG84" s="542"/>
      <c r="AH84" s="542"/>
      <c r="AI84" s="542"/>
      <c r="AJ84" s="201"/>
      <c r="AK84" s="202"/>
      <c r="AL84" s="202"/>
      <c r="AM84" s="203"/>
      <c r="AN84" s="203"/>
    </row>
    <row r="85" spans="1:40" hidden="1">
      <c r="AJ85" s="201"/>
      <c r="AK85" s="202"/>
      <c r="AL85" s="202"/>
      <c r="AM85" s="203"/>
      <c r="AN85" s="203"/>
    </row>
    <row r="86" spans="1:40" hidden="1">
      <c r="A86" s="530" t="s">
        <v>192</v>
      </c>
      <c r="B86" s="530"/>
      <c r="C86" s="530"/>
      <c r="D86" s="530"/>
      <c r="E86" s="530"/>
      <c r="F86" s="530"/>
      <c r="G86" s="530"/>
      <c r="H86" s="530"/>
      <c r="I86" s="530"/>
      <c r="J86" s="530"/>
      <c r="K86" s="530"/>
      <c r="L86" s="530"/>
      <c r="M86" s="530"/>
      <c r="N86" s="530"/>
      <c r="O86" s="530"/>
      <c r="P86" s="530"/>
      <c r="Q86" s="530"/>
      <c r="R86" s="530"/>
      <c r="S86" s="530"/>
      <c r="T86" s="530"/>
      <c r="U86" s="530"/>
      <c r="V86" s="530"/>
      <c r="W86" s="530"/>
      <c r="X86" s="530"/>
      <c r="Y86" s="530"/>
      <c r="Z86" s="530"/>
      <c r="AA86" s="530"/>
      <c r="AB86" s="530"/>
      <c r="AC86" s="530"/>
      <c r="AD86" s="530"/>
      <c r="AE86" s="530"/>
      <c r="AF86" s="530"/>
      <c r="AG86" s="530"/>
      <c r="AH86" s="530"/>
      <c r="AI86" s="530"/>
      <c r="AJ86" s="548" t="s">
        <v>193</v>
      </c>
      <c r="AK86" s="548"/>
      <c r="AL86" s="202"/>
      <c r="AM86" s="203"/>
      <c r="AN86" s="203"/>
    </row>
    <row r="87" spans="1:40" hidden="1">
      <c r="AJ87" s="202">
        <v>0</v>
      </c>
      <c r="AK87" s="203"/>
      <c r="AL87" s="202"/>
      <c r="AM87" s="203"/>
      <c r="AN87" s="203"/>
    </row>
    <row r="88" spans="1:40" hidden="1">
      <c r="A88" s="200" t="s">
        <v>174</v>
      </c>
      <c r="B88" s="543">
        <f>AK74</f>
        <v>5.5</v>
      </c>
      <c r="C88" s="543"/>
      <c r="D88" s="543"/>
      <c r="E88" s="200" t="s">
        <v>148</v>
      </c>
      <c r="F88" s="214" t="s">
        <v>175</v>
      </c>
      <c r="G88" s="543">
        <f>AJ87</f>
        <v>0</v>
      </c>
      <c r="H88" s="543"/>
      <c r="I88" s="200" t="s">
        <v>194</v>
      </c>
      <c r="J88" s="214"/>
      <c r="K88" s="205"/>
      <c r="L88" s="199"/>
      <c r="M88" s="199"/>
      <c r="P88" s="199"/>
      <c r="Q88" s="199"/>
      <c r="T88" s="199"/>
      <c r="AJ88" s="201"/>
      <c r="AK88" s="202"/>
      <c r="AL88" s="202"/>
      <c r="AM88" s="203"/>
      <c r="AN88" s="203"/>
    </row>
    <row r="89" spans="1:40" hidden="1">
      <c r="A89" s="200" t="s">
        <v>174</v>
      </c>
      <c r="B89" s="543">
        <f>B88*G88</f>
        <v>0</v>
      </c>
      <c r="C89" s="543"/>
      <c r="D89" s="543"/>
      <c r="E89" s="200" t="s">
        <v>148</v>
      </c>
      <c r="AJ89" s="201"/>
      <c r="AK89" s="202"/>
      <c r="AL89" s="202"/>
      <c r="AM89" s="203"/>
      <c r="AN89" s="203"/>
    </row>
    <row r="90" spans="1:40" hidden="1">
      <c r="AJ90" s="201"/>
      <c r="AK90" s="202"/>
      <c r="AL90" s="202"/>
      <c r="AM90" s="203"/>
      <c r="AN90" s="203"/>
    </row>
    <row r="91" spans="1:40" ht="31.5" customHeight="1">
      <c r="A91" s="544" t="s">
        <v>423</v>
      </c>
      <c r="B91" s="544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201"/>
      <c r="AK91" s="202"/>
      <c r="AL91" s="202"/>
      <c r="AM91" s="203"/>
      <c r="AN91" s="203"/>
    </row>
    <row r="92" spans="1:40" ht="15">
      <c r="A92" s="217"/>
      <c r="B92" s="217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7"/>
      <c r="AH92" s="217"/>
      <c r="AI92" s="217"/>
      <c r="AJ92" s="201"/>
      <c r="AK92" s="202"/>
      <c r="AL92" s="202"/>
      <c r="AM92" s="203"/>
      <c r="AN92" s="203"/>
    </row>
    <row r="93" spans="1:40">
      <c r="A93" s="526" t="s">
        <v>188</v>
      </c>
      <c r="B93" s="526"/>
      <c r="C93" s="526"/>
      <c r="D93" s="526"/>
      <c r="F93" s="531">
        <f>F79</f>
        <v>66.13</v>
      </c>
      <c r="G93" s="531"/>
      <c r="H93" s="526" t="s">
        <v>196</v>
      </c>
      <c r="I93" s="526"/>
      <c r="J93" s="531">
        <v>1</v>
      </c>
      <c r="K93" s="531"/>
      <c r="L93" s="526" t="s">
        <v>197</v>
      </c>
      <c r="M93" s="526"/>
      <c r="N93" s="532">
        <f>F93*J93</f>
        <v>66.13</v>
      </c>
      <c r="O93" s="532"/>
      <c r="P93" s="200" t="s">
        <v>148</v>
      </c>
      <c r="AJ93" s="201"/>
      <c r="AK93" s="202"/>
      <c r="AL93" s="202"/>
      <c r="AM93" s="203"/>
      <c r="AN93" s="203"/>
    </row>
    <row r="94" spans="1:40">
      <c r="A94" s="526" t="s">
        <v>189</v>
      </c>
      <c r="B94" s="526"/>
      <c r="C94" s="526"/>
      <c r="D94" s="526"/>
      <c r="F94" s="531">
        <f>F80</f>
        <v>64.66</v>
      </c>
      <c r="G94" s="531"/>
      <c r="H94" s="526" t="s">
        <v>196</v>
      </c>
      <c r="I94" s="526"/>
      <c r="J94" s="531">
        <v>1</v>
      </c>
      <c r="K94" s="531"/>
      <c r="L94" s="526" t="s">
        <v>197</v>
      </c>
      <c r="M94" s="526"/>
      <c r="N94" s="532">
        <f>F94*J94</f>
        <v>64.66</v>
      </c>
      <c r="O94" s="532"/>
      <c r="P94" s="200" t="s">
        <v>148</v>
      </c>
      <c r="AJ94" s="201"/>
      <c r="AK94" s="202"/>
      <c r="AL94" s="202"/>
      <c r="AM94" s="203"/>
      <c r="AN94" s="203"/>
    </row>
    <row r="95" spans="1:40">
      <c r="A95" s="200" t="s">
        <v>185</v>
      </c>
      <c r="C95" s="531">
        <f>SUM(N93:O94)</f>
        <v>130.79</v>
      </c>
      <c r="D95" s="533"/>
      <c r="E95" s="526" t="s">
        <v>196</v>
      </c>
      <c r="F95" s="526"/>
      <c r="G95" s="532">
        <f>AL74</f>
        <v>1.35</v>
      </c>
      <c r="H95" s="533"/>
      <c r="I95" s="526" t="s">
        <v>198</v>
      </c>
      <c r="J95" s="526"/>
      <c r="K95" s="525">
        <f>C95*G95</f>
        <v>176.57</v>
      </c>
      <c r="L95" s="525"/>
      <c r="M95" s="200" t="s">
        <v>85</v>
      </c>
      <c r="N95" s="204"/>
      <c r="O95" s="204"/>
      <c r="AJ95" s="201"/>
      <c r="AK95" s="202"/>
      <c r="AL95" s="202"/>
      <c r="AM95" s="203"/>
      <c r="AN95" s="203"/>
    </row>
    <row r="96" spans="1:40">
      <c r="F96" s="216"/>
      <c r="G96" s="216"/>
      <c r="H96" s="215"/>
      <c r="I96" s="215"/>
      <c r="J96" s="216"/>
      <c r="K96" s="216"/>
      <c r="L96" s="215"/>
      <c r="M96" s="215"/>
      <c r="N96" s="204"/>
      <c r="O96" s="204"/>
      <c r="AJ96" s="201"/>
      <c r="AK96" s="202"/>
      <c r="AL96" s="202"/>
      <c r="AM96" s="203"/>
      <c r="AN96" s="203"/>
    </row>
    <row r="97" spans="1:40">
      <c r="A97" s="200" t="s">
        <v>199</v>
      </c>
      <c r="E97" s="205"/>
      <c r="F97" s="205"/>
      <c r="H97" s="216"/>
      <c r="I97" s="216"/>
      <c r="J97" s="215"/>
      <c r="K97" s="215"/>
      <c r="L97" s="216"/>
      <c r="M97" s="216"/>
      <c r="AJ97" s="201"/>
      <c r="AK97" s="202"/>
      <c r="AL97" s="202"/>
      <c r="AM97" s="203"/>
      <c r="AN97" s="203"/>
    </row>
    <row r="98" spans="1:40">
      <c r="A98" s="526" t="s">
        <v>200</v>
      </c>
      <c r="B98" s="526"/>
      <c r="C98" s="526"/>
      <c r="D98" s="526"/>
      <c r="F98" s="531">
        <f>C124</f>
        <v>24.7</v>
      </c>
      <c r="G98" s="531"/>
      <c r="H98" s="526" t="s">
        <v>85</v>
      </c>
      <c r="I98" s="526"/>
      <c r="J98" s="531"/>
      <c r="K98" s="531"/>
      <c r="L98" s="526"/>
      <c r="M98" s="526"/>
      <c r="N98" s="532"/>
      <c r="O98" s="532"/>
      <c r="AJ98" s="201"/>
      <c r="AK98" s="202"/>
      <c r="AL98" s="202"/>
      <c r="AM98" s="203"/>
      <c r="AN98" s="203"/>
    </row>
    <row r="99" spans="1:40">
      <c r="A99" s="200" t="s">
        <v>201</v>
      </c>
      <c r="F99" s="531">
        <v>8.5</v>
      </c>
      <c r="G99" s="531"/>
      <c r="H99" s="526" t="s">
        <v>196</v>
      </c>
      <c r="I99" s="526"/>
      <c r="J99" s="531">
        <f>B106</f>
        <v>4</v>
      </c>
      <c r="K99" s="531"/>
      <c r="L99" s="526" t="s">
        <v>202</v>
      </c>
      <c r="M99" s="526"/>
      <c r="N99" s="532">
        <f>G95</f>
        <v>1.35</v>
      </c>
      <c r="O99" s="532"/>
      <c r="P99" s="200" t="s">
        <v>203</v>
      </c>
      <c r="Q99" s="528">
        <f>F99*J99*N99</f>
        <v>45.9</v>
      </c>
      <c r="R99" s="528"/>
      <c r="S99" s="199" t="s">
        <v>85</v>
      </c>
      <c r="AJ99" s="201"/>
      <c r="AK99" s="202"/>
      <c r="AL99" s="202"/>
      <c r="AM99" s="203"/>
      <c r="AN99" s="203"/>
    </row>
    <row r="100" spans="1:40">
      <c r="A100" s="200" t="s">
        <v>204</v>
      </c>
      <c r="F100" s="531">
        <f>K95</f>
        <v>176.57</v>
      </c>
      <c r="G100" s="533"/>
      <c r="H100" s="526" t="s">
        <v>205</v>
      </c>
      <c r="I100" s="526"/>
      <c r="J100" s="531">
        <f>SUM(F98,Q99)</f>
        <v>70.599999999999994</v>
      </c>
      <c r="K100" s="533"/>
      <c r="L100" s="526" t="s">
        <v>206</v>
      </c>
      <c r="M100" s="526"/>
      <c r="N100" s="525">
        <f>F100-J100</f>
        <v>105.97</v>
      </c>
      <c r="O100" s="525"/>
      <c r="P100" s="200" t="s">
        <v>85</v>
      </c>
      <c r="AJ100" s="201"/>
      <c r="AK100" s="202"/>
      <c r="AL100" s="202"/>
      <c r="AM100" s="203"/>
      <c r="AN100" s="203"/>
    </row>
    <row r="101" spans="1:40">
      <c r="AJ101" s="201"/>
      <c r="AK101" s="202"/>
      <c r="AL101" s="202"/>
      <c r="AM101" s="203"/>
      <c r="AN101" s="203"/>
    </row>
    <row r="102" spans="1:40" ht="31.5" customHeight="1">
      <c r="A102" s="544" t="s">
        <v>437</v>
      </c>
      <c r="B102" s="544"/>
      <c r="C102" s="544"/>
      <c r="D102" s="544"/>
      <c r="E102" s="544"/>
      <c r="F102" s="544"/>
      <c r="G102" s="544"/>
      <c r="H102" s="544"/>
      <c r="I102" s="544"/>
      <c r="J102" s="544"/>
      <c r="K102" s="544"/>
      <c r="L102" s="544"/>
      <c r="M102" s="544"/>
      <c r="N102" s="544"/>
      <c r="O102" s="544"/>
      <c r="P102" s="544"/>
      <c r="Q102" s="544"/>
      <c r="R102" s="544"/>
      <c r="S102" s="544"/>
      <c r="T102" s="544"/>
      <c r="U102" s="544"/>
      <c r="V102" s="544"/>
      <c r="W102" s="544"/>
      <c r="X102" s="544"/>
      <c r="Y102" s="544"/>
      <c r="Z102" s="544"/>
      <c r="AA102" s="544"/>
      <c r="AB102" s="544"/>
      <c r="AC102" s="544"/>
      <c r="AD102" s="544"/>
      <c r="AE102" s="544"/>
      <c r="AF102" s="544"/>
      <c r="AG102" s="544"/>
      <c r="AH102" s="544"/>
      <c r="AI102" s="544"/>
      <c r="AJ102" s="201"/>
      <c r="AK102" s="202"/>
      <c r="AL102" s="202"/>
      <c r="AM102" s="203"/>
      <c r="AN102" s="203"/>
    </row>
    <row r="103" spans="1:40">
      <c r="AJ103" s="201"/>
      <c r="AK103" s="202"/>
      <c r="AL103" s="202"/>
      <c r="AM103" s="203"/>
      <c r="AN103" s="203"/>
    </row>
    <row r="104" spans="1:40">
      <c r="A104" s="530" t="s">
        <v>207</v>
      </c>
      <c r="B104" s="530"/>
      <c r="C104" s="530"/>
      <c r="D104" s="530"/>
      <c r="E104" s="530"/>
      <c r="F104" s="530"/>
      <c r="G104" s="530"/>
      <c r="H104" s="530"/>
      <c r="I104" s="530"/>
      <c r="J104" s="530"/>
      <c r="K104" s="530"/>
      <c r="L104" s="530"/>
      <c r="M104" s="530"/>
      <c r="N104" s="530"/>
      <c r="O104" s="530"/>
      <c r="P104" s="530"/>
      <c r="Q104" s="530"/>
      <c r="R104" s="530"/>
      <c r="S104" s="530"/>
      <c r="T104" s="530"/>
      <c r="U104" s="530"/>
      <c r="V104" s="530"/>
      <c r="W104" s="530"/>
      <c r="X104" s="530"/>
      <c r="Y104" s="530"/>
      <c r="Z104" s="530"/>
      <c r="AA104" s="530"/>
      <c r="AB104" s="530"/>
      <c r="AC104" s="530"/>
      <c r="AD104" s="530"/>
      <c r="AE104" s="530"/>
      <c r="AF104" s="530"/>
      <c r="AG104" s="530"/>
      <c r="AH104" s="530"/>
      <c r="AI104" s="530"/>
      <c r="AJ104" s="201"/>
      <c r="AK104" s="202"/>
      <c r="AL104" s="202"/>
      <c r="AM104" s="203"/>
      <c r="AN104" s="203"/>
    </row>
    <row r="105" spans="1:40">
      <c r="AJ105" s="201" t="s">
        <v>234</v>
      </c>
      <c r="AK105" s="202"/>
      <c r="AL105" s="202"/>
      <c r="AM105" s="203"/>
      <c r="AN105" s="203"/>
    </row>
    <row r="106" spans="1:40">
      <c r="A106" s="200" t="s">
        <v>179</v>
      </c>
      <c r="B106" s="543">
        <f>AJ106</f>
        <v>4</v>
      </c>
      <c r="C106" s="543"/>
      <c r="D106" s="530" t="s">
        <v>102</v>
      </c>
      <c r="E106" s="530"/>
      <c r="AJ106" s="201">
        <v>4</v>
      </c>
      <c r="AK106" s="202"/>
      <c r="AL106" s="202"/>
      <c r="AM106" s="203"/>
      <c r="AN106" s="203"/>
    </row>
    <row r="107" spans="1:40">
      <c r="AJ107" s="201"/>
      <c r="AK107" s="202"/>
      <c r="AL107" s="202"/>
      <c r="AM107" s="203"/>
      <c r="AN107" s="203"/>
    </row>
    <row r="108" spans="1:40" ht="31.5" customHeight="1">
      <c r="A108" s="544" t="s">
        <v>425</v>
      </c>
      <c r="B108" s="544"/>
      <c r="C108" s="544"/>
      <c r="D108" s="544"/>
      <c r="E108" s="544"/>
      <c r="F108" s="544"/>
      <c r="G108" s="544"/>
      <c r="H108" s="544"/>
      <c r="I108" s="544"/>
      <c r="J108" s="544"/>
      <c r="K108" s="544"/>
      <c r="L108" s="544"/>
      <c r="M108" s="544"/>
      <c r="N108" s="544"/>
      <c r="O108" s="544"/>
      <c r="P108" s="544"/>
      <c r="Q108" s="544"/>
      <c r="R108" s="544"/>
      <c r="S108" s="544"/>
      <c r="T108" s="544"/>
      <c r="U108" s="544"/>
      <c r="V108" s="544"/>
      <c r="W108" s="544"/>
      <c r="X108" s="544"/>
      <c r="Y108" s="544"/>
      <c r="Z108" s="544"/>
      <c r="AA108" s="544"/>
      <c r="AB108" s="544"/>
      <c r="AC108" s="544"/>
      <c r="AD108" s="544"/>
      <c r="AE108" s="544"/>
      <c r="AF108" s="544"/>
      <c r="AG108" s="544"/>
      <c r="AH108" s="544"/>
      <c r="AI108" s="544"/>
      <c r="AJ108" s="201"/>
      <c r="AK108" s="202"/>
      <c r="AL108" s="202"/>
      <c r="AM108" s="203"/>
      <c r="AN108" s="218"/>
    </row>
    <row r="109" spans="1:40">
      <c r="AJ109" s="201"/>
      <c r="AK109" s="202"/>
      <c r="AL109" s="202"/>
      <c r="AM109" s="203"/>
      <c r="AN109" s="203"/>
    </row>
    <row r="110" spans="1:40">
      <c r="A110" s="200" t="s">
        <v>208</v>
      </c>
      <c r="AJ110" s="201"/>
      <c r="AK110" s="202"/>
      <c r="AL110" s="202"/>
      <c r="AM110" s="203"/>
      <c r="AN110" s="203"/>
    </row>
    <row r="111" spans="1:40">
      <c r="AJ111" s="201"/>
      <c r="AK111" s="202"/>
      <c r="AL111" s="202"/>
      <c r="AM111" s="203"/>
      <c r="AN111" s="203"/>
    </row>
    <row r="112" spans="1:40">
      <c r="A112" s="526" t="s">
        <v>188</v>
      </c>
      <c r="B112" s="526"/>
      <c r="C112" s="526"/>
      <c r="D112" s="526"/>
      <c r="F112" s="531">
        <f>F93</f>
        <v>66.13</v>
      </c>
      <c r="G112" s="531"/>
      <c r="H112" s="526" t="s">
        <v>196</v>
      </c>
      <c r="I112" s="526"/>
      <c r="J112" s="531">
        <v>1</v>
      </c>
      <c r="K112" s="531"/>
      <c r="L112" s="526" t="s">
        <v>197</v>
      </c>
      <c r="M112" s="526"/>
      <c r="N112" s="532">
        <f>F112*J112</f>
        <v>66.13</v>
      </c>
      <c r="O112" s="532"/>
      <c r="P112" s="200" t="s">
        <v>148</v>
      </c>
      <c r="AJ112" s="201"/>
      <c r="AK112" s="202"/>
      <c r="AL112" s="202"/>
      <c r="AM112" s="203"/>
      <c r="AN112" s="203"/>
    </row>
    <row r="113" spans="1:40">
      <c r="A113" s="526" t="s">
        <v>189</v>
      </c>
      <c r="B113" s="526"/>
      <c r="C113" s="526"/>
      <c r="D113" s="526"/>
      <c r="F113" s="531">
        <f>F94</f>
        <v>64.66</v>
      </c>
      <c r="G113" s="531"/>
      <c r="H113" s="526" t="s">
        <v>196</v>
      </c>
      <c r="I113" s="526"/>
      <c r="J113" s="531">
        <v>1</v>
      </c>
      <c r="K113" s="531"/>
      <c r="L113" s="526" t="s">
        <v>197</v>
      </c>
      <c r="M113" s="526"/>
      <c r="N113" s="532">
        <f>F113*J113</f>
        <v>64.66</v>
      </c>
      <c r="O113" s="532"/>
      <c r="P113" s="200" t="s">
        <v>148</v>
      </c>
      <c r="AJ113" s="201"/>
      <c r="AK113" s="202"/>
      <c r="AL113" s="202"/>
      <c r="AM113" s="203"/>
      <c r="AN113" s="203"/>
    </row>
    <row r="114" spans="1:40">
      <c r="A114" s="215"/>
      <c r="B114" s="215"/>
      <c r="C114" s="215"/>
      <c r="D114" s="215"/>
      <c r="F114" s="216"/>
      <c r="G114" s="216"/>
      <c r="H114" s="215"/>
      <c r="I114" s="215"/>
      <c r="J114" s="216"/>
      <c r="K114" s="216"/>
      <c r="L114" s="215"/>
      <c r="M114" s="215"/>
      <c r="N114" s="204"/>
      <c r="O114" s="204"/>
      <c r="AJ114" s="201"/>
      <c r="AK114" s="202"/>
      <c r="AL114" s="202"/>
      <c r="AM114" s="203"/>
      <c r="AN114" s="203"/>
    </row>
    <row r="115" spans="1:40">
      <c r="A115" s="200" t="s">
        <v>199</v>
      </c>
      <c r="E115" s="205"/>
      <c r="F115" s="205"/>
      <c r="H115" s="216"/>
      <c r="I115" s="216"/>
      <c r="J115" s="215"/>
      <c r="K115" s="215"/>
      <c r="L115" s="216"/>
      <c r="M115" s="216"/>
      <c r="AJ115" s="201"/>
      <c r="AK115" s="202"/>
      <c r="AL115" s="202"/>
      <c r="AM115" s="203"/>
      <c r="AN115" s="203"/>
    </row>
    <row r="116" spans="1:40">
      <c r="A116" s="526" t="s">
        <v>201</v>
      </c>
      <c r="B116" s="526"/>
      <c r="C116" s="526"/>
      <c r="D116" s="526"/>
      <c r="F116" s="531">
        <v>8.5</v>
      </c>
      <c r="G116" s="531"/>
      <c r="H116" s="526" t="s">
        <v>196</v>
      </c>
      <c r="I116" s="526"/>
      <c r="J116" s="531">
        <f>B106</f>
        <v>4</v>
      </c>
      <c r="K116" s="531"/>
      <c r="L116" s="526" t="s">
        <v>197</v>
      </c>
      <c r="M116" s="526"/>
      <c r="N116" s="532">
        <f>F116*J116</f>
        <v>34</v>
      </c>
      <c r="O116" s="532"/>
      <c r="P116" s="200" t="s">
        <v>148</v>
      </c>
      <c r="AJ116" s="201"/>
      <c r="AK116" s="202"/>
      <c r="AL116" s="202"/>
      <c r="AM116" s="203"/>
      <c r="AN116" s="203"/>
    </row>
    <row r="117" spans="1:40">
      <c r="A117" s="526" t="s">
        <v>209</v>
      </c>
      <c r="B117" s="526"/>
      <c r="C117" s="526"/>
      <c r="D117" s="526"/>
      <c r="F117" s="531">
        <v>0.5</v>
      </c>
      <c r="G117" s="531"/>
      <c r="H117" s="526" t="s">
        <v>196</v>
      </c>
      <c r="I117" s="526"/>
      <c r="J117" s="531">
        <v>4</v>
      </c>
      <c r="K117" s="531"/>
      <c r="L117" s="526" t="s">
        <v>197</v>
      </c>
      <c r="M117" s="526"/>
      <c r="N117" s="532">
        <f>F117*J117</f>
        <v>2</v>
      </c>
      <c r="O117" s="532"/>
      <c r="P117" s="200" t="s">
        <v>148</v>
      </c>
      <c r="T117" s="199"/>
      <c r="U117" s="199"/>
      <c r="AJ117" s="201"/>
      <c r="AK117" s="202"/>
      <c r="AL117" s="202"/>
      <c r="AM117" s="203"/>
      <c r="AN117" s="203"/>
    </row>
    <row r="118" spans="1:40">
      <c r="A118" s="200" t="s">
        <v>210</v>
      </c>
      <c r="F118" s="531">
        <f>SUM(N112:O113)-SUM(N116:O117)</f>
        <v>94.79</v>
      </c>
      <c r="G118" s="533"/>
      <c r="H118" s="200" t="s">
        <v>211</v>
      </c>
      <c r="I118" s="533">
        <v>0.25</v>
      </c>
      <c r="J118" s="533"/>
      <c r="K118" s="200" t="s">
        <v>212</v>
      </c>
      <c r="L118" s="525">
        <f>F118*I118</f>
        <v>23.7</v>
      </c>
      <c r="M118" s="528"/>
      <c r="N118" s="199" t="s">
        <v>85</v>
      </c>
      <c r="AJ118" s="201"/>
      <c r="AK118" s="202"/>
      <c r="AL118" s="202"/>
      <c r="AM118" s="203"/>
      <c r="AN118" s="203"/>
    </row>
    <row r="119" spans="1:40">
      <c r="AJ119" s="201"/>
      <c r="AK119" s="202"/>
      <c r="AL119" s="202"/>
      <c r="AM119" s="203"/>
      <c r="AN119" s="203"/>
    </row>
    <row r="120" spans="1:40">
      <c r="A120" s="200" t="s">
        <v>213</v>
      </c>
      <c r="AJ120" s="201"/>
      <c r="AK120" s="202"/>
      <c r="AL120" s="202"/>
      <c r="AM120" s="203"/>
      <c r="AN120" s="203"/>
    </row>
    <row r="121" spans="1:40">
      <c r="E121" s="533"/>
      <c r="F121" s="533"/>
      <c r="H121" s="527"/>
      <c r="I121" s="527"/>
      <c r="J121" s="526"/>
      <c r="K121" s="526"/>
      <c r="L121" s="531"/>
      <c r="M121" s="531"/>
      <c r="AJ121" s="201"/>
      <c r="AK121" s="202"/>
      <c r="AL121" s="202"/>
      <c r="AM121" s="203"/>
      <c r="AN121" s="203"/>
    </row>
    <row r="122" spans="1:40">
      <c r="A122" s="526" t="s">
        <v>209</v>
      </c>
      <c r="B122" s="526"/>
      <c r="C122" s="526"/>
      <c r="D122" s="526"/>
      <c r="F122" s="531">
        <v>0.25</v>
      </c>
      <c r="G122" s="531"/>
      <c r="H122" s="526" t="s">
        <v>214</v>
      </c>
      <c r="I122" s="526"/>
      <c r="J122" s="531">
        <f>J117</f>
        <v>4</v>
      </c>
      <c r="K122" s="531"/>
      <c r="L122" s="526" t="s">
        <v>197</v>
      </c>
      <c r="M122" s="526"/>
      <c r="N122" s="532">
        <f>F122*J122</f>
        <v>1</v>
      </c>
      <c r="O122" s="532"/>
      <c r="P122" s="200" t="s">
        <v>85</v>
      </c>
      <c r="AJ122" s="201"/>
      <c r="AK122" s="202"/>
      <c r="AL122" s="202"/>
      <c r="AM122" s="203"/>
      <c r="AN122" s="203"/>
    </row>
    <row r="123" spans="1:40">
      <c r="E123" s="205"/>
      <c r="F123" s="205"/>
      <c r="H123" s="219"/>
      <c r="I123" s="219"/>
      <c r="J123" s="215"/>
      <c r="K123" s="215"/>
      <c r="L123" s="214"/>
      <c r="M123" s="214"/>
      <c r="AJ123" s="201"/>
      <c r="AK123" s="202"/>
      <c r="AL123" s="202"/>
      <c r="AM123" s="203"/>
      <c r="AN123" s="203"/>
    </row>
    <row r="124" spans="1:40">
      <c r="A124" s="200" t="s">
        <v>191</v>
      </c>
      <c r="C124" s="527">
        <f>L118+N122</f>
        <v>24.7</v>
      </c>
      <c r="D124" s="527"/>
      <c r="E124" s="205" t="s">
        <v>85</v>
      </c>
      <c r="F124" s="205"/>
      <c r="H124" s="219"/>
      <c r="I124" s="219"/>
      <c r="J124" s="215"/>
      <c r="K124" s="215"/>
      <c r="L124" s="214"/>
      <c r="M124" s="214"/>
      <c r="AJ124" s="201"/>
      <c r="AK124" s="202"/>
      <c r="AL124" s="202"/>
      <c r="AM124" s="203"/>
      <c r="AN124" s="203"/>
    </row>
    <row r="125" spans="1:40">
      <c r="AJ125" s="201"/>
      <c r="AK125" s="202"/>
      <c r="AL125" s="202"/>
      <c r="AM125" s="203"/>
      <c r="AN125" s="203"/>
    </row>
    <row r="126" spans="1:40" ht="15">
      <c r="A126" s="542" t="s">
        <v>426</v>
      </c>
      <c r="B126" s="542"/>
      <c r="C126" s="542"/>
      <c r="D126" s="542"/>
      <c r="E126" s="542"/>
      <c r="F126" s="542"/>
      <c r="G126" s="542"/>
      <c r="H126" s="542"/>
      <c r="I126" s="542"/>
      <c r="J126" s="542"/>
      <c r="K126" s="542"/>
      <c r="L126" s="542"/>
      <c r="M126" s="542"/>
      <c r="N126" s="542"/>
      <c r="O126" s="542"/>
      <c r="P126" s="542"/>
      <c r="Q126" s="542"/>
      <c r="R126" s="542"/>
      <c r="S126" s="542"/>
      <c r="T126" s="542"/>
      <c r="U126" s="542"/>
      <c r="V126" s="542"/>
      <c r="W126" s="542"/>
      <c r="X126" s="542"/>
      <c r="Y126" s="542"/>
      <c r="Z126" s="542"/>
      <c r="AA126" s="542"/>
      <c r="AB126" s="542"/>
      <c r="AC126" s="542"/>
      <c r="AD126" s="542"/>
      <c r="AE126" s="542"/>
      <c r="AF126" s="542"/>
      <c r="AG126" s="542"/>
      <c r="AH126" s="542"/>
      <c r="AI126" s="542"/>
      <c r="AJ126" s="201"/>
      <c r="AK126" s="202"/>
      <c r="AL126" s="202"/>
      <c r="AM126" s="203"/>
      <c r="AN126" s="203"/>
    </row>
    <row r="127" spans="1:40">
      <c r="AJ127" s="201"/>
      <c r="AK127" s="202"/>
      <c r="AL127" s="202"/>
      <c r="AM127" s="203"/>
      <c r="AN127" s="203"/>
    </row>
    <row r="128" spans="1:40">
      <c r="A128" s="530" t="s">
        <v>246</v>
      </c>
      <c r="B128" s="530"/>
      <c r="C128" s="530"/>
      <c r="D128" s="530"/>
      <c r="E128" s="530"/>
      <c r="F128" s="530"/>
      <c r="G128" s="530"/>
      <c r="H128" s="530"/>
      <c r="I128" s="530"/>
      <c r="J128" s="530"/>
      <c r="K128" s="530"/>
      <c r="L128" s="530"/>
      <c r="M128" s="530"/>
      <c r="N128" s="530"/>
      <c r="O128" s="530"/>
      <c r="P128" s="530"/>
      <c r="Q128" s="530"/>
      <c r="R128" s="530"/>
      <c r="S128" s="530"/>
      <c r="T128" s="530"/>
      <c r="U128" s="530"/>
      <c r="V128" s="530"/>
      <c r="W128" s="530"/>
      <c r="X128" s="530"/>
      <c r="Y128" s="530"/>
      <c r="Z128" s="530"/>
      <c r="AA128" s="530"/>
      <c r="AB128" s="530"/>
      <c r="AC128" s="530"/>
      <c r="AD128" s="530"/>
      <c r="AE128" s="530"/>
      <c r="AF128" s="530"/>
      <c r="AG128" s="530"/>
      <c r="AH128" s="530"/>
      <c r="AI128" s="530"/>
      <c r="AJ128" s="201"/>
      <c r="AK128" s="202"/>
      <c r="AL128" s="202"/>
      <c r="AM128" s="203"/>
      <c r="AN128" s="203"/>
    </row>
    <row r="129" spans="1:40">
      <c r="AJ129" s="201"/>
      <c r="AK129" s="202"/>
      <c r="AL129" s="202"/>
      <c r="AM129" s="203"/>
      <c r="AN129" s="203"/>
    </row>
    <row r="130" spans="1:40">
      <c r="A130" s="200" t="s">
        <v>174</v>
      </c>
      <c r="C130" s="525">
        <f>SUM(F79:G80)</f>
        <v>130.79</v>
      </c>
      <c r="D130" s="525"/>
      <c r="E130" s="198" t="s">
        <v>175</v>
      </c>
      <c r="F130" s="200" t="s">
        <v>216</v>
      </c>
      <c r="G130" s="528">
        <v>0.15</v>
      </c>
      <c r="H130" s="528"/>
      <c r="I130" s="198" t="s">
        <v>217</v>
      </c>
      <c r="J130" s="525">
        <v>0.15</v>
      </c>
      <c r="K130" s="525"/>
      <c r="L130" s="214" t="s">
        <v>218</v>
      </c>
      <c r="M130" s="199"/>
      <c r="S130" s="200"/>
      <c r="AF130" s="198"/>
      <c r="AG130" s="199"/>
      <c r="AH130" s="199"/>
      <c r="AJ130" s="203"/>
      <c r="AK130" s="200"/>
      <c r="AL130" s="200"/>
    </row>
    <row r="131" spans="1:40">
      <c r="A131" s="200" t="s">
        <v>174</v>
      </c>
      <c r="B131" s="543">
        <f>(C130)*(G130+J130)</f>
        <v>39.24</v>
      </c>
      <c r="C131" s="543"/>
      <c r="D131" s="543"/>
      <c r="E131" s="200" t="s">
        <v>85</v>
      </c>
      <c r="AJ131" s="201"/>
      <c r="AK131" s="202"/>
      <c r="AL131" s="202"/>
      <c r="AM131" s="203"/>
      <c r="AN131" s="203"/>
    </row>
    <row r="132" spans="1:40">
      <c r="AJ132" s="201"/>
      <c r="AK132" s="202"/>
      <c r="AL132" s="202"/>
      <c r="AM132" s="203"/>
      <c r="AN132" s="203"/>
    </row>
    <row r="133" spans="1:40">
      <c r="AJ133" s="201"/>
      <c r="AK133" s="202"/>
      <c r="AL133" s="202"/>
      <c r="AM133" s="203"/>
      <c r="AN133" s="203"/>
    </row>
    <row r="134" spans="1:40" s="223" customFormat="1" ht="15" customHeight="1">
      <c r="A134" s="544" t="s">
        <v>427</v>
      </c>
      <c r="B134" s="544"/>
      <c r="C134" s="544"/>
      <c r="D134" s="544"/>
      <c r="E134" s="544"/>
      <c r="F134" s="544"/>
      <c r="G134" s="544"/>
      <c r="H134" s="544"/>
      <c r="I134" s="544"/>
      <c r="J134" s="544"/>
      <c r="K134" s="544"/>
      <c r="L134" s="544"/>
      <c r="M134" s="544"/>
      <c r="N134" s="544"/>
      <c r="O134" s="544"/>
      <c r="P134" s="544"/>
      <c r="Q134" s="544"/>
      <c r="R134" s="544"/>
      <c r="S134" s="544"/>
      <c r="T134" s="544"/>
      <c r="U134" s="544"/>
      <c r="V134" s="544"/>
      <c r="W134" s="544"/>
      <c r="X134" s="544"/>
      <c r="Y134" s="544"/>
      <c r="Z134" s="544"/>
      <c r="AA134" s="544"/>
      <c r="AB134" s="544"/>
      <c r="AC134" s="544"/>
      <c r="AD134" s="544"/>
      <c r="AE134" s="544"/>
      <c r="AF134" s="544"/>
      <c r="AG134" s="544"/>
      <c r="AH134" s="544"/>
      <c r="AI134" s="544"/>
      <c r="AJ134" s="220"/>
      <c r="AK134" s="221"/>
      <c r="AL134" s="221"/>
      <c r="AM134" s="222"/>
      <c r="AN134" s="222"/>
    </row>
    <row r="135" spans="1:40">
      <c r="AM135" s="203"/>
      <c r="AN135" s="203"/>
    </row>
    <row r="136" spans="1:40">
      <c r="A136" s="538" t="s">
        <v>219</v>
      </c>
      <c r="B136" s="538"/>
      <c r="C136" s="538"/>
      <c r="D136" s="538"/>
      <c r="E136" s="538"/>
      <c r="F136" s="538"/>
      <c r="G136" s="538"/>
      <c r="H136" s="538"/>
      <c r="I136" s="538"/>
      <c r="J136" s="538"/>
      <c r="K136" s="538"/>
      <c r="L136" s="538"/>
      <c r="M136" s="538"/>
      <c r="N136" s="538"/>
      <c r="O136" s="538"/>
      <c r="P136" s="538"/>
      <c r="Q136" s="538"/>
      <c r="R136" s="538"/>
      <c r="S136" s="538"/>
      <c r="T136" s="538"/>
      <c r="U136" s="538"/>
      <c r="V136" s="538"/>
      <c r="W136" s="538"/>
      <c r="X136" s="538"/>
      <c r="Y136" s="538"/>
      <c r="Z136" s="538"/>
      <c r="AA136" s="538"/>
      <c r="AB136" s="538"/>
      <c r="AC136" s="538"/>
      <c r="AD136" s="538"/>
      <c r="AE136" s="538"/>
      <c r="AF136" s="538"/>
      <c r="AG136" s="538"/>
      <c r="AH136" s="538"/>
      <c r="AI136" s="538"/>
      <c r="AM136" s="203"/>
      <c r="AN136" s="203"/>
    </row>
    <row r="137" spans="1:40">
      <c r="A137" s="538"/>
      <c r="B137" s="538"/>
      <c r="C137" s="538"/>
      <c r="D137" s="538"/>
      <c r="E137" s="538"/>
      <c r="F137" s="538"/>
      <c r="G137" s="538"/>
      <c r="H137" s="538"/>
      <c r="I137" s="538"/>
      <c r="J137" s="538"/>
      <c r="K137" s="538"/>
      <c r="L137" s="538"/>
      <c r="M137" s="538"/>
      <c r="N137" s="538"/>
      <c r="O137" s="538"/>
      <c r="P137" s="538"/>
      <c r="Q137" s="538"/>
      <c r="R137" s="538"/>
      <c r="S137" s="538"/>
      <c r="T137" s="538"/>
      <c r="U137" s="538"/>
      <c r="V137" s="538"/>
      <c r="W137" s="538"/>
      <c r="X137" s="538"/>
      <c r="Y137" s="538"/>
      <c r="Z137" s="538"/>
      <c r="AA137" s="538"/>
      <c r="AB137" s="538"/>
      <c r="AC137" s="538"/>
      <c r="AD137" s="538"/>
      <c r="AE137" s="538"/>
      <c r="AF137" s="538"/>
      <c r="AG137" s="538"/>
      <c r="AH137" s="538"/>
      <c r="AI137" s="538"/>
      <c r="AM137" s="203"/>
      <c r="AN137" s="203"/>
    </row>
    <row r="138" spans="1:40">
      <c r="AJ138" s="525" t="s">
        <v>220</v>
      </c>
      <c r="AK138" s="525"/>
      <c r="AL138" s="199" t="s">
        <v>221</v>
      </c>
      <c r="AM138" s="203"/>
      <c r="AN138" s="203"/>
    </row>
    <row r="139" spans="1:40">
      <c r="B139" s="200" t="s">
        <v>222</v>
      </c>
      <c r="AK139" s="198"/>
      <c r="AM139" s="203"/>
      <c r="AN139" s="203"/>
    </row>
    <row r="140" spans="1:40">
      <c r="A140" s="200" t="s">
        <v>174</v>
      </c>
      <c r="B140" s="527">
        <f>AJ141</f>
        <v>2</v>
      </c>
      <c r="C140" s="527"/>
      <c r="D140" s="200" t="s">
        <v>102</v>
      </c>
      <c r="F140" s="200" t="s">
        <v>175</v>
      </c>
      <c r="G140" s="525">
        <f>AL141</f>
        <v>0.28000000000000003</v>
      </c>
      <c r="H140" s="525"/>
      <c r="I140" s="200" t="s">
        <v>223</v>
      </c>
      <c r="AK140" s="198"/>
      <c r="AM140" s="203"/>
      <c r="AN140" s="203"/>
    </row>
    <row r="141" spans="1:40">
      <c r="A141" s="200" t="s">
        <v>224</v>
      </c>
      <c r="B141" s="543">
        <f>B140*G140</f>
        <v>0.56000000000000005</v>
      </c>
      <c r="C141" s="543"/>
      <c r="D141" s="530" t="s">
        <v>85</v>
      </c>
      <c r="E141" s="530"/>
      <c r="AJ141" s="198">
        <v>2</v>
      </c>
      <c r="AL141" s="199">
        <f>PI()*0.3^2</f>
        <v>0.28000000000000003</v>
      </c>
      <c r="AM141" s="203"/>
      <c r="AN141" s="203"/>
    </row>
    <row r="143" spans="1:40">
      <c r="B143" s="200" t="s">
        <v>225</v>
      </c>
      <c r="AK143" s="198"/>
      <c r="AM143" s="203"/>
      <c r="AN143" s="203"/>
    </row>
    <row r="144" spans="1:40">
      <c r="A144" s="200" t="s">
        <v>174</v>
      </c>
      <c r="B144" s="527">
        <f>AJ145</f>
        <v>0</v>
      </c>
      <c r="C144" s="527"/>
      <c r="D144" s="200" t="s">
        <v>102</v>
      </c>
      <c r="F144" s="200" t="s">
        <v>175</v>
      </c>
      <c r="G144" s="525">
        <f>AL145</f>
        <v>0.2</v>
      </c>
      <c r="H144" s="525"/>
      <c r="I144" s="200" t="s">
        <v>223</v>
      </c>
      <c r="AJ144" s="525" t="s">
        <v>226</v>
      </c>
      <c r="AK144" s="525"/>
      <c r="AM144" s="203"/>
      <c r="AN144" s="203"/>
    </row>
    <row r="145" spans="1:40">
      <c r="A145" s="200" t="s">
        <v>224</v>
      </c>
      <c r="B145" s="543">
        <f>B144*G144</f>
        <v>0</v>
      </c>
      <c r="C145" s="543"/>
      <c r="D145" s="530" t="s">
        <v>85</v>
      </c>
      <c r="E145" s="530"/>
      <c r="AJ145" s="198">
        <v>0</v>
      </c>
      <c r="AL145" s="199">
        <f>PI()*0.25^2</f>
        <v>0.2</v>
      </c>
      <c r="AM145" s="203"/>
      <c r="AN145" s="203"/>
    </row>
    <row r="147" spans="1:40">
      <c r="A147" s="200" t="s">
        <v>185</v>
      </c>
      <c r="C147" s="525">
        <f>B141+B145</f>
        <v>0.56000000000000005</v>
      </c>
      <c r="D147" s="528"/>
      <c r="E147" s="200" t="s">
        <v>85</v>
      </c>
    </row>
    <row r="149" spans="1:40" s="197" customFormat="1" ht="15">
      <c r="A149" s="229" t="s">
        <v>227</v>
      </c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1"/>
      <c r="AJ149" s="224"/>
      <c r="AK149" s="210"/>
      <c r="AL149" s="210"/>
    </row>
    <row r="151" spans="1:40" ht="15">
      <c r="A151" s="542" t="s">
        <v>228</v>
      </c>
      <c r="B151" s="542"/>
      <c r="C151" s="542"/>
      <c r="D151" s="542"/>
      <c r="E151" s="542"/>
      <c r="F151" s="542"/>
      <c r="G151" s="542"/>
      <c r="H151" s="542"/>
      <c r="I151" s="542"/>
      <c r="J151" s="542"/>
      <c r="K151" s="542"/>
      <c r="L151" s="542"/>
      <c r="M151" s="542"/>
      <c r="N151" s="542"/>
      <c r="O151" s="542"/>
      <c r="P151" s="542"/>
      <c r="Q151" s="542"/>
      <c r="R151" s="542"/>
      <c r="S151" s="542"/>
      <c r="T151" s="542"/>
      <c r="U151" s="542"/>
      <c r="V151" s="542"/>
      <c r="W151" s="542"/>
      <c r="X151" s="542"/>
      <c r="Y151" s="542"/>
      <c r="Z151" s="542"/>
      <c r="AA151" s="542"/>
      <c r="AB151" s="542"/>
      <c r="AC151" s="542"/>
      <c r="AD151" s="542"/>
      <c r="AE151" s="542"/>
      <c r="AF151" s="542"/>
      <c r="AG151" s="542"/>
      <c r="AH151" s="542"/>
      <c r="AI151" s="542"/>
    </row>
    <row r="153" spans="1:40">
      <c r="A153" s="530" t="s">
        <v>229</v>
      </c>
      <c r="B153" s="530"/>
      <c r="C153" s="530"/>
      <c r="D153" s="530"/>
      <c r="E153" s="530"/>
      <c r="F153" s="530"/>
      <c r="G153" s="530"/>
      <c r="H153" s="530"/>
      <c r="I153" s="530"/>
      <c r="J153" s="530"/>
      <c r="K153" s="530"/>
      <c r="L153" s="530"/>
      <c r="M153" s="530"/>
      <c r="N153" s="530"/>
      <c r="O153" s="530"/>
      <c r="P153" s="530"/>
      <c r="Q153" s="530"/>
      <c r="R153" s="530"/>
      <c r="S153" s="530"/>
      <c r="T153" s="530"/>
      <c r="U153" s="530"/>
      <c r="V153" s="530"/>
      <c r="W153" s="530"/>
      <c r="X153" s="530"/>
      <c r="Y153" s="530"/>
      <c r="Z153" s="530"/>
      <c r="AA153" s="530"/>
      <c r="AB153" s="530"/>
      <c r="AC153" s="530"/>
      <c r="AD153" s="530"/>
      <c r="AE153" s="530"/>
      <c r="AF153" s="530"/>
      <c r="AG153" s="530"/>
      <c r="AH153" s="530"/>
      <c r="AI153" s="530"/>
    </row>
    <row r="155" spans="1:40">
      <c r="A155" s="200" t="s">
        <v>230</v>
      </c>
      <c r="B155" s="543">
        <f>B75</f>
        <v>357.45</v>
      </c>
      <c r="C155" s="530"/>
      <c r="D155" s="530"/>
      <c r="E155" s="200" t="s">
        <v>85</v>
      </c>
    </row>
  </sheetData>
  <mergeCells count="160">
    <mergeCell ref="A2:AI2"/>
    <mergeCell ref="A4:AI4"/>
    <mergeCell ref="A6:AI6"/>
    <mergeCell ref="A8:AI8"/>
    <mergeCell ref="B10:C10"/>
    <mergeCell ref="F10:G10"/>
    <mergeCell ref="J10:K10"/>
    <mergeCell ref="A20:AI20"/>
    <mergeCell ref="A22:AI22"/>
    <mergeCell ref="B24:C24"/>
    <mergeCell ref="A26:AI26"/>
    <mergeCell ref="A28:AI28"/>
    <mergeCell ref="B30:C30"/>
    <mergeCell ref="D30:E30"/>
    <mergeCell ref="A12:AI12"/>
    <mergeCell ref="A14:AI14"/>
    <mergeCell ref="A15:AI15"/>
    <mergeCell ref="B16:C16"/>
    <mergeCell ref="G16:H16"/>
    <mergeCell ref="C18:E18"/>
    <mergeCell ref="B44:C44"/>
    <mergeCell ref="D44:E44"/>
    <mergeCell ref="A47:AI47"/>
    <mergeCell ref="A49:AI49"/>
    <mergeCell ref="B51:C51"/>
    <mergeCell ref="D51:E51"/>
    <mergeCell ref="A33:AI33"/>
    <mergeCell ref="A35:AI35"/>
    <mergeCell ref="B37:C37"/>
    <mergeCell ref="D37:E37"/>
    <mergeCell ref="A40:AI40"/>
    <mergeCell ref="A42:AI42"/>
    <mergeCell ref="A72:AI72"/>
    <mergeCell ref="B74:C74"/>
    <mergeCell ref="G74:H74"/>
    <mergeCell ref="A54:AI54"/>
    <mergeCell ref="A56:AI56"/>
    <mergeCell ref="B58:C58"/>
    <mergeCell ref="D58:E58"/>
    <mergeCell ref="A61:AI61"/>
    <mergeCell ref="A70:AI70"/>
    <mergeCell ref="A63:AI63"/>
    <mergeCell ref="A65:AI65"/>
    <mergeCell ref="A66:AI66"/>
    <mergeCell ref="B67:C67"/>
    <mergeCell ref="G67:H67"/>
    <mergeCell ref="B68:D68"/>
    <mergeCell ref="A86:AI86"/>
    <mergeCell ref="AJ86:AK86"/>
    <mergeCell ref="B88:D88"/>
    <mergeCell ref="G88:H88"/>
    <mergeCell ref="B89:D89"/>
    <mergeCell ref="A91:AI91"/>
    <mergeCell ref="F82:G82"/>
    <mergeCell ref="A84:AI84"/>
    <mergeCell ref="B75:D75"/>
    <mergeCell ref="A77:AI77"/>
    <mergeCell ref="A79:D79"/>
    <mergeCell ref="F79:G79"/>
    <mergeCell ref="A80:D80"/>
    <mergeCell ref="F80:G80"/>
    <mergeCell ref="A94:D94"/>
    <mergeCell ref="F94:G94"/>
    <mergeCell ref="H94:I94"/>
    <mergeCell ref="J94:K94"/>
    <mergeCell ref="L94:M94"/>
    <mergeCell ref="N94:O94"/>
    <mergeCell ref="A93:D93"/>
    <mergeCell ref="F93:G93"/>
    <mergeCell ref="H93:I93"/>
    <mergeCell ref="J93:K93"/>
    <mergeCell ref="L93:M93"/>
    <mergeCell ref="N93:O93"/>
    <mergeCell ref="C95:D95"/>
    <mergeCell ref="E95:F95"/>
    <mergeCell ref="G95:H95"/>
    <mergeCell ref="I95:J95"/>
    <mergeCell ref="K95:L95"/>
    <mergeCell ref="A98:D98"/>
    <mergeCell ref="F98:G98"/>
    <mergeCell ref="H98:I98"/>
    <mergeCell ref="J98:K98"/>
    <mergeCell ref="L98:M98"/>
    <mergeCell ref="Q99:R99"/>
    <mergeCell ref="F100:G100"/>
    <mergeCell ref="H100:I100"/>
    <mergeCell ref="J100:K100"/>
    <mergeCell ref="L100:M100"/>
    <mergeCell ref="N100:O100"/>
    <mergeCell ref="N98:O98"/>
    <mergeCell ref="F99:G99"/>
    <mergeCell ref="H99:I99"/>
    <mergeCell ref="J99:K99"/>
    <mergeCell ref="L99:M99"/>
    <mergeCell ref="N99:O99"/>
    <mergeCell ref="N112:O112"/>
    <mergeCell ref="A113:D113"/>
    <mergeCell ref="F113:G113"/>
    <mergeCell ref="H113:I113"/>
    <mergeCell ref="J113:K113"/>
    <mergeCell ref="L113:M113"/>
    <mergeCell ref="N113:O113"/>
    <mergeCell ref="A102:AI102"/>
    <mergeCell ref="A104:AI104"/>
    <mergeCell ref="B106:C106"/>
    <mergeCell ref="D106:E106"/>
    <mergeCell ref="A108:AI108"/>
    <mergeCell ref="A112:D112"/>
    <mergeCell ref="F112:G112"/>
    <mergeCell ref="H112:I112"/>
    <mergeCell ref="J112:K112"/>
    <mergeCell ref="L112:M112"/>
    <mergeCell ref="A117:D117"/>
    <mergeCell ref="F117:G117"/>
    <mergeCell ref="H117:I117"/>
    <mergeCell ref="J117:K117"/>
    <mergeCell ref="L117:M117"/>
    <mergeCell ref="N117:O117"/>
    <mergeCell ref="A116:D116"/>
    <mergeCell ref="F116:G116"/>
    <mergeCell ref="H116:I116"/>
    <mergeCell ref="J116:K116"/>
    <mergeCell ref="L116:M116"/>
    <mergeCell ref="N116:O116"/>
    <mergeCell ref="A122:D122"/>
    <mergeCell ref="F122:G122"/>
    <mergeCell ref="H122:I122"/>
    <mergeCell ref="J122:K122"/>
    <mergeCell ref="L122:M122"/>
    <mergeCell ref="N122:O122"/>
    <mergeCell ref="F118:G118"/>
    <mergeCell ref="I118:J118"/>
    <mergeCell ref="L118:M118"/>
    <mergeCell ref="E121:F121"/>
    <mergeCell ref="H121:I121"/>
    <mergeCell ref="J121:K121"/>
    <mergeCell ref="L121:M121"/>
    <mergeCell ref="B131:D131"/>
    <mergeCell ref="A134:AI134"/>
    <mergeCell ref="A136:AI137"/>
    <mergeCell ref="AJ138:AK138"/>
    <mergeCell ref="B140:C140"/>
    <mergeCell ref="G140:H140"/>
    <mergeCell ref="C124:D124"/>
    <mergeCell ref="A126:AI126"/>
    <mergeCell ref="A128:AI128"/>
    <mergeCell ref="C130:D130"/>
    <mergeCell ref="G130:H130"/>
    <mergeCell ref="J130:K130"/>
    <mergeCell ref="A151:AI151"/>
    <mergeCell ref="A153:AI153"/>
    <mergeCell ref="B155:D155"/>
    <mergeCell ref="C147:D147"/>
    <mergeCell ref="B141:C141"/>
    <mergeCell ref="D141:E141"/>
    <mergeCell ref="B144:C144"/>
    <mergeCell ref="G144:H144"/>
    <mergeCell ref="AJ144:AK144"/>
    <mergeCell ref="B145:C145"/>
    <mergeCell ref="D145:E145"/>
  </mergeCells>
  <printOptions horizontalCentered="1"/>
  <pageMargins left="0.25" right="0.25" top="0.75" bottom="0.75" header="0.3" footer="0.3"/>
  <pageSetup paperSize="9" scale="60" orientation="portrait" horizontalDpi="4294967293" verticalDpi="4294967293" r:id="rId1"/>
  <rowBreaks count="1" manualBreakCount="1">
    <brk id="125" max="3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B1:AG55"/>
  <sheetViews>
    <sheetView view="pageBreakPreview" topLeftCell="A44" zoomScale="85" zoomScaleSheetLayoutView="85" workbookViewId="0">
      <selection activeCell="I56" sqref="I56"/>
    </sheetView>
  </sheetViews>
  <sheetFormatPr defaultColWidth="9.140625" defaultRowHeight="14.25"/>
  <cols>
    <col min="1" max="1" width="2.28515625" style="157" customWidth="1"/>
    <col min="2" max="2" width="13.42578125" style="234" customWidth="1"/>
    <col min="3" max="3" width="12.85546875" style="234" customWidth="1"/>
    <col min="4" max="4" width="9.140625" style="234"/>
    <col min="5" max="5" width="60.7109375" style="157" customWidth="1"/>
    <col min="6" max="6" width="9.140625" style="234"/>
    <col min="7" max="7" width="9.85546875" style="235" bestFit="1" customWidth="1"/>
    <col min="8" max="8" width="9.140625" style="235"/>
    <col min="9" max="9" width="11.5703125" style="235" bestFit="1" customWidth="1"/>
    <col min="10" max="10" width="9.140625" style="157"/>
    <col min="11" max="11" width="9.140625" style="160"/>
    <col min="12" max="17" width="9.140625" style="157"/>
    <col min="18" max="18" width="12.85546875" style="157" bestFit="1" customWidth="1"/>
    <col min="19" max="16384" width="9.140625" style="157"/>
  </cols>
  <sheetData>
    <row r="1" spans="2:11" s="153" customFormat="1" ht="24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" customHeight="1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233"/>
      <c r="F8" s="233"/>
      <c r="G8" s="233"/>
      <c r="H8" s="233"/>
      <c r="I8" s="233"/>
    </row>
    <row r="9" spans="2:1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8" customHeight="1">
      <c r="B11" s="158" t="s">
        <v>121</v>
      </c>
      <c r="C11" s="159" t="str">
        <f>'RUA 1'!C11</f>
        <v>1054116-72</v>
      </c>
      <c r="D11" s="194"/>
      <c r="E11" s="194"/>
      <c r="F11" s="194"/>
      <c r="G11" s="194"/>
      <c r="H11" s="194"/>
      <c r="I11" s="194"/>
    </row>
    <row r="12" spans="2:11" ht="15">
      <c r="B12" s="158" t="s">
        <v>122</v>
      </c>
      <c r="C12" s="515" t="s">
        <v>375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8'!A2</f>
        <v>Rua Antônio de Matos Barbosa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ht="30" customHeight="1">
      <c r="B15" s="521" t="s">
        <v>125</v>
      </c>
      <c r="C15" s="521"/>
      <c r="D15" s="522" t="s">
        <v>376</v>
      </c>
      <c r="E15" s="522"/>
      <c r="F15" s="522"/>
      <c r="G15" s="522"/>
      <c r="H15" s="235" t="s">
        <v>126</v>
      </c>
      <c r="I15" s="237">
        <f>BDI!B14</f>
        <v>0.2203</v>
      </c>
    </row>
    <row r="17" spans="2:18" ht="15">
      <c r="B17" s="518" t="s">
        <v>127</v>
      </c>
      <c r="C17" s="518" t="s">
        <v>52</v>
      </c>
      <c r="D17" s="518" t="s">
        <v>46</v>
      </c>
      <c r="E17" s="518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8" ht="15">
      <c r="B18" s="518"/>
      <c r="C18" s="518"/>
      <c r="D18" s="518"/>
      <c r="E18" s="518"/>
      <c r="F18" s="518"/>
      <c r="G18" s="519"/>
      <c r="H18" s="239" t="s">
        <v>132</v>
      </c>
      <c r="I18" s="239" t="s">
        <v>133</v>
      </c>
    </row>
    <row r="20" spans="2:18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876.74</v>
      </c>
    </row>
    <row r="21" spans="2:18">
      <c r="B21" s="176" t="s">
        <v>136</v>
      </c>
      <c r="C21" s="176" t="s">
        <v>137</v>
      </c>
      <c r="D21" s="176" t="s">
        <v>138</v>
      </c>
      <c r="E21" s="360" t="s">
        <v>139</v>
      </c>
      <c r="F21" s="176" t="s">
        <v>85</v>
      </c>
      <c r="G21" s="361">
        <f>'MEMORIAL 8'!J10</f>
        <v>0</v>
      </c>
      <c r="H21" s="361">
        <f>ROUND(K21+(K21*$I$15),2)</f>
        <v>381.08</v>
      </c>
      <c r="I21" s="361">
        <f>ROUND(G21*H21,2)</f>
        <v>0</v>
      </c>
      <c r="K21" s="160">
        <f>'RUA 1'!K21</f>
        <v>312.27999999999997</v>
      </c>
    </row>
    <row r="22" spans="2:18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8'!C18</f>
        <v>1913.77</v>
      </c>
      <c r="H22" s="361">
        <f>ROUND(K22+(K22*$I$15),2)</f>
        <v>0.35</v>
      </c>
      <c r="I22" s="361">
        <f>ROUND(G22*H22,2)</f>
        <v>669.82</v>
      </c>
      <c r="K22" s="160">
        <v>0.28999999999999998</v>
      </c>
    </row>
    <row r="23" spans="2:18" ht="28.5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8'!B24</f>
        <v>2</v>
      </c>
      <c r="H23" s="361">
        <f>ROUND(K23+(K23*$I$15),2)</f>
        <v>103.46</v>
      </c>
      <c r="I23" s="361">
        <f>ROUND(G23*H23,2)</f>
        <v>206.92</v>
      </c>
      <c r="K23" s="160">
        <f>'RUA 1'!K23</f>
        <v>84.78</v>
      </c>
    </row>
    <row r="24" spans="2:18">
      <c r="B24" s="524"/>
      <c r="C24" s="524"/>
      <c r="D24" s="524"/>
      <c r="E24" s="524"/>
      <c r="F24" s="524"/>
      <c r="G24" s="524"/>
      <c r="H24" s="524"/>
      <c r="I24" s="524"/>
    </row>
    <row r="26" spans="2:18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154629.71</v>
      </c>
    </row>
    <row r="27" spans="2:18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8'!B34</f>
        <v>1913.77</v>
      </c>
      <c r="H27" s="361">
        <f>ROUND(K27+(K27*$I$15),2)</f>
        <v>1.43</v>
      </c>
      <c r="I27" s="361">
        <f t="shared" ref="I27:I35" si="0">ROUND(G27*H27,2)</f>
        <v>2736.69</v>
      </c>
      <c r="K27" s="160">
        <v>1.17</v>
      </c>
    </row>
    <row r="28" spans="2:18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'MEMORIAL 8'!C42</f>
        <v>1913.77</v>
      </c>
      <c r="H28" s="361">
        <f>ROUND(K28+(K28*$I$15),2)</f>
        <v>50.13</v>
      </c>
      <c r="I28" s="361">
        <f t="shared" si="0"/>
        <v>95937.29</v>
      </c>
      <c r="K28" s="160">
        <f>'RUA 1'!K28</f>
        <v>41.08</v>
      </c>
    </row>
    <row r="29" spans="2:18">
      <c r="B29" s="176" t="s">
        <v>149</v>
      </c>
      <c r="C29" s="176" t="s">
        <v>150</v>
      </c>
      <c r="D29" s="176" t="s">
        <v>151</v>
      </c>
      <c r="E29" s="362" t="s">
        <v>369</v>
      </c>
      <c r="F29" s="242" t="s">
        <v>148</v>
      </c>
      <c r="G29" s="363">
        <f>'MEMORIAL 8'!F59</f>
        <v>511.78</v>
      </c>
      <c r="H29" s="363">
        <f t="shared" ref="H29:H35" si="1">ROUND(K29+(K29*$I$15),2)</f>
        <v>15.49</v>
      </c>
      <c r="I29" s="363">
        <f t="shared" si="0"/>
        <v>7927.47</v>
      </c>
      <c r="K29" s="160">
        <f>'RUA 1'!K29</f>
        <v>12.69</v>
      </c>
    </row>
    <row r="30" spans="2:18" ht="28.5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8'!B66</f>
        <v>54</v>
      </c>
      <c r="H30" s="361">
        <f>ROUND(K30+(K30*$I$15),2)</f>
        <v>15.49</v>
      </c>
      <c r="I30" s="361">
        <f>ROUND(G30*H30,2)</f>
        <v>836.46</v>
      </c>
      <c r="K30" s="160">
        <f>'RUA 1'!K30</f>
        <v>12.69</v>
      </c>
    </row>
    <row r="31" spans="2:18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8'!N87</f>
        <v>446.25</v>
      </c>
      <c r="H31" s="361">
        <f>ROUND(K31+(K31*$I$15),2)</f>
        <v>61.73</v>
      </c>
      <c r="I31" s="361">
        <f>ROUND(G31*H31,2)</f>
        <v>27547.01</v>
      </c>
      <c r="K31" s="160">
        <f>'RUA 1'!K31</f>
        <v>50.59</v>
      </c>
    </row>
    <row r="32" spans="2:18" ht="42.75">
      <c r="B32" s="176" t="s">
        <v>145</v>
      </c>
      <c r="C32" s="380" t="s">
        <v>362</v>
      </c>
      <c r="D32" s="176" t="s">
        <v>157</v>
      </c>
      <c r="E32" s="360" t="s">
        <v>413</v>
      </c>
      <c r="F32" s="176" t="s">
        <v>102</v>
      </c>
      <c r="G32" s="361">
        <f>ROUND('MEMORIAL 8'!B93,2)</f>
        <v>12</v>
      </c>
      <c r="H32" s="361">
        <f t="shared" si="1"/>
        <v>871.48</v>
      </c>
      <c r="I32" s="361">
        <f t="shared" si="0"/>
        <v>10457.76</v>
      </c>
      <c r="K32" s="160">
        <f>COMP!K163</f>
        <v>714.15</v>
      </c>
      <c r="R32" s="157">
        <v>8007290722</v>
      </c>
    </row>
    <row r="33" spans="2:33" ht="57">
      <c r="B33" s="176" t="s">
        <v>145</v>
      </c>
      <c r="C33" s="380" t="s">
        <v>421</v>
      </c>
      <c r="D33" s="176" t="s">
        <v>159</v>
      </c>
      <c r="E33" s="360" t="s">
        <v>105</v>
      </c>
      <c r="F33" s="176" t="s">
        <v>85</v>
      </c>
      <c r="G33" s="361">
        <f>'MEMORIAL 8'!C119</f>
        <v>106.95</v>
      </c>
      <c r="H33" s="361">
        <f>ROUND(K33+(K33*$I$15),2)</f>
        <v>82.39</v>
      </c>
      <c r="I33" s="361">
        <f>ROUND(G33*H33,2)</f>
        <v>8811.61</v>
      </c>
      <c r="K33" s="160">
        <f>'RUA 1'!K33</f>
        <v>67.52</v>
      </c>
      <c r="R33" s="157">
        <v>58516030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8'!B126,2)</f>
        <v>153.53</v>
      </c>
      <c r="H34" s="361">
        <f t="shared" si="1"/>
        <v>1.04</v>
      </c>
      <c r="I34" s="361">
        <f t="shared" si="0"/>
        <v>159.66999999999999</v>
      </c>
      <c r="K34" s="160">
        <f>'RUA 1'!K34</f>
        <v>0.85</v>
      </c>
    </row>
    <row r="35" spans="2:33" ht="28.5">
      <c r="B35" s="176" t="s">
        <v>161</v>
      </c>
      <c r="C35" s="364" t="s">
        <v>162</v>
      </c>
      <c r="D35" s="176" t="s">
        <v>365</v>
      </c>
      <c r="E35" s="362" t="s">
        <v>164</v>
      </c>
      <c r="F35" s="242" t="s">
        <v>85</v>
      </c>
      <c r="G35" s="361">
        <f>ROUND('MEMORIAL 8'!C141,2)</f>
        <v>0.68</v>
      </c>
      <c r="H35" s="361">
        <f t="shared" si="1"/>
        <v>317.27999999999997</v>
      </c>
      <c r="I35" s="361">
        <f t="shared" si="0"/>
        <v>215.75</v>
      </c>
      <c r="K35" s="160">
        <f>'RUA 1'!K35</f>
        <v>260</v>
      </c>
    </row>
    <row r="36" spans="2:33">
      <c r="B36" s="524"/>
      <c r="C36" s="524"/>
      <c r="D36" s="524"/>
      <c r="E36" s="524"/>
      <c r="F36" s="524"/>
      <c r="G36" s="524"/>
      <c r="H36" s="524"/>
      <c r="I36" s="524"/>
    </row>
    <row r="38" spans="2:33" s="197" customFormat="1" ht="15">
      <c r="B38" s="238" t="s">
        <v>127</v>
      </c>
      <c r="C38" s="238" t="s">
        <v>52</v>
      </c>
      <c r="D38" s="238" t="s">
        <v>165</v>
      </c>
      <c r="E38" s="523" t="s">
        <v>309</v>
      </c>
      <c r="F38" s="523"/>
      <c r="G38" s="523"/>
      <c r="H38" s="523"/>
      <c r="I38" s="239">
        <f>SUM(I39:I47)</f>
        <v>17047.03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 s="197" customFormat="1">
      <c r="B39" s="376" t="s">
        <v>136</v>
      </c>
      <c r="C39" s="376">
        <v>73610</v>
      </c>
      <c r="D39" s="376" t="s">
        <v>167</v>
      </c>
      <c r="E39" s="377" t="s">
        <v>256</v>
      </c>
      <c r="F39" s="376" t="s">
        <v>148</v>
      </c>
      <c r="G39" s="378">
        <f>'MEMORIAL 8'!C151</f>
        <v>42</v>
      </c>
      <c r="H39" s="378">
        <f>ROUND(K39+(K39*$I$15),2)</f>
        <v>1.06</v>
      </c>
      <c r="I39" s="378">
        <f>ROUND(G39*H39,2)</f>
        <v>44.52</v>
      </c>
      <c r="K39" s="210">
        <f>'RUA 1'!K39</f>
        <v>0.87</v>
      </c>
      <c r="L39" s="20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40"/>
      <c r="AD39" s="224"/>
      <c r="AE39" s="224"/>
      <c r="AF39" s="240"/>
      <c r="AG39" s="240"/>
    </row>
    <row r="40" spans="2:33" s="197" customFormat="1" ht="71.25" customHeight="1">
      <c r="B40" s="176" t="s">
        <v>136</v>
      </c>
      <c r="C40" s="176">
        <v>90092</v>
      </c>
      <c r="D40" s="176" t="s">
        <v>310</v>
      </c>
      <c r="E40" s="177" t="s">
        <v>311</v>
      </c>
      <c r="F40" s="176" t="s">
        <v>58</v>
      </c>
      <c r="G40" s="241">
        <f>'MEMORIAL 8'!C161</f>
        <v>97.2</v>
      </c>
      <c r="H40" s="241">
        <f t="shared" ref="H40:H47" si="2">ROUND(K40+(K40*$I$15),2)</f>
        <v>4.92</v>
      </c>
      <c r="I40" s="241">
        <f>ROUND(G40*H40,2)</f>
        <v>478.22</v>
      </c>
      <c r="K40" s="210">
        <f>'RUA 1'!K40</f>
        <v>4.03</v>
      </c>
      <c r="L40" s="20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40"/>
      <c r="AD40" s="224"/>
      <c r="AE40" s="224"/>
      <c r="AF40" s="240"/>
      <c r="AG40" s="240"/>
    </row>
    <row r="41" spans="2:33" s="197" customFormat="1" ht="42.75">
      <c r="B41" s="176" t="s">
        <v>136</v>
      </c>
      <c r="C41" s="176">
        <v>94045</v>
      </c>
      <c r="D41" s="176" t="s">
        <v>312</v>
      </c>
      <c r="E41" s="177" t="s">
        <v>314</v>
      </c>
      <c r="F41" s="176" t="s">
        <v>85</v>
      </c>
      <c r="G41" s="241">
        <f>'MEMORIAL 8'!C169</f>
        <v>131.4</v>
      </c>
      <c r="H41" s="241">
        <f t="shared" si="2"/>
        <v>12.48</v>
      </c>
      <c r="I41" s="241">
        <f>ROUND(G41*H41,2)</f>
        <v>1639.87</v>
      </c>
      <c r="K41" s="210">
        <f>'RUA 1'!K41</f>
        <v>10.23</v>
      </c>
      <c r="L41" s="204"/>
      <c r="M41" s="210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40"/>
      <c r="AD41" s="224"/>
      <c r="AE41" s="224"/>
      <c r="AF41" s="240"/>
      <c r="AG41" s="240"/>
    </row>
    <row r="42" spans="2:33" s="197" customFormat="1">
      <c r="B42" s="176" t="s">
        <v>315</v>
      </c>
      <c r="C42" s="380" t="s">
        <v>363</v>
      </c>
      <c r="D42" s="176" t="s">
        <v>313</v>
      </c>
      <c r="E42" s="177" t="s">
        <v>95</v>
      </c>
      <c r="F42" s="176" t="s">
        <v>58</v>
      </c>
      <c r="G42" s="241">
        <f>'MEMORIAL 8'!C178</f>
        <v>9.4499999999999993</v>
      </c>
      <c r="H42" s="241">
        <f t="shared" si="2"/>
        <v>96.6</v>
      </c>
      <c r="I42" s="241">
        <f t="shared" ref="I42:I47" si="3">ROUND(G42*H42,2)</f>
        <v>912.87</v>
      </c>
      <c r="K42" s="210">
        <f>'RUA 1'!K42</f>
        <v>79.16</v>
      </c>
      <c r="L42" s="20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40"/>
      <c r="AD42" s="224"/>
      <c r="AE42" s="224"/>
      <c r="AF42" s="240"/>
      <c r="AG42" s="240"/>
    </row>
    <row r="43" spans="2:33" s="197" customFormat="1" ht="42.75">
      <c r="B43" s="242" t="s">
        <v>136</v>
      </c>
      <c r="C43" s="242">
        <v>92212</v>
      </c>
      <c r="D43" s="176" t="s">
        <v>316</v>
      </c>
      <c r="E43" s="177" t="s">
        <v>353</v>
      </c>
      <c r="F43" s="176" t="s">
        <v>148</v>
      </c>
      <c r="G43" s="241">
        <f>'MEMORIAL 8'!C186</f>
        <v>42</v>
      </c>
      <c r="H43" s="241">
        <f t="shared" si="2"/>
        <v>156.25</v>
      </c>
      <c r="I43" s="241">
        <f t="shared" si="3"/>
        <v>6562.5</v>
      </c>
      <c r="K43" s="210">
        <f>'RUA 1'!K43</f>
        <v>128.04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40"/>
      <c r="AD43" s="224"/>
      <c r="AE43" s="224"/>
      <c r="AF43" s="240"/>
      <c r="AG43" s="240"/>
    </row>
    <row r="44" spans="2:33" s="197" customFormat="1" ht="71.25">
      <c r="B44" s="176" t="s">
        <v>136</v>
      </c>
      <c r="C44" s="176">
        <v>93360</v>
      </c>
      <c r="D44" s="176" t="s">
        <v>317</v>
      </c>
      <c r="E44" s="177" t="s">
        <v>319</v>
      </c>
      <c r="F44" s="176" t="s">
        <v>58</v>
      </c>
      <c r="G44" s="241">
        <f>'MEMORIAL 8'!B206</f>
        <v>69.540000000000006</v>
      </c>
      <c r="H44" s="241">
        <f t="shared" si="2"/>
        <v>15.07</v>
      </c>
      <c r="I44" s="241">
        <f t="shared" si="3"/>
        <v>1047.97</v>
      </c>
      <c r="K44" s="210">
        <f>'RUA 1'!K44</f>
        <v>12.35</v>
      </c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40"/>
      <c r="AD44" s="224"/>
      <c r="AE44" s="224"/>
      <c r="AF44" s="240"/>
      <c r="AG44" s="240"/>
    </row>
    <row r="45" spans="2:33" s="197" customFormat="1" ht="42.75">
      <c r="B45" s="176" t="s">
        <v>136</v>
      </c>
      <c r="C45" s="242">
        <v>83659</v>
      </c>
      <c r="D45" s="176" t="s">
        <v>318</v>
      </c>
      <c r="E45" s="177" t="s">
        <v>322</v>
      </c>
      <c r="F45" s="176" t="s">
        <v>102</v>
      </c>
      <c r="G45" s="241">
        <f>'MEMORIAL 8'!B212</f>
        <v>4</v>
      </c>
      <c r="H45" s="241">
        <f t="shared" si="2"/>
        <v>709.47</v>
      </c>
      <c r="I45" s="241">
        <f t="shared" si="3"/>
        <v>2837.88</v>
      </c>
      <c r="K45" s="210">
        <f>'RUA 1'!K45</f>
        <v>581.39</v>
      </c>
      <c r="L45" s="20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40"/>
      <c r="AD45" s="224"/>
      <c r="AE45" s="224"/>
      <c r="AF45" s="240"/>
      <c r="AG45" s="240"/>
    </row>
    <row r="46" spans="2:33" s="197" customFormat="1" ht="28.5">
      <c r="B46" s="176" t="s">
        <v>315</v>
      </c>
      <c r="C46" s="381" t="s">
        <v>361</v>
      </c>
      <c r="D46" s="176" t="s">
        <v>320</v>
      </c>
      <c r="E46" s="177" t="s">
        <v>324</v>
      </c>
      <c r="F46" s="176" t="s">
        <v>102</v>
      </c>
      <c r="G46" s="241">
        <f>'MEMORIAL 8'!B218</f>
        <v>4</v>
      </c>
      <c r="H46" s="241">
        <f t="shared" si="2"/>
        <v>374.95</v>
      </c>
      <c r="I46" s="241">
        <f t="shared" si="3"/>
        <v>1499.8</v>
      </c>
      <c r="K46" s="210">
        <f>COMP!K352</f>
        <v>307.26</v>
      </c>
      <c r="L46" s="20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40"/>
      <c r="AD46" s="224"/>
      <c r="AE46" s="224"/>
      <c r="AF46" s="240"/>
      <c r="AG46" s="240"/>
    </row>
    <row r="47" spans="2:33" s="197" customFormat="1" ht="42.75">
      <c r="B47" s="176" t="s">
        <v>136</v>
      </c>
      <c r="C47" s="176" t="s">
        <v>326</v>
      </c>
      <c r="D47" s="176" t="s">
        <v>321</v>
      </c>
      <c r="E47" s="177" t="s">
        <v>327</v>
      </c>
      <c r="F47" s="176" t="s">
        <v>102</v>
      </c>
      <c r="G47" s="241">
        <f>'MEMORIAL 8'!B224</f>
        <v>2</v>
      </c>
      <c r="H47" s="241">
        <f t="shared" si="2"/>
        <v>1011.7</v>
      </c>
      <c r="I47" s="241">
        <f t="shared" si="3"/>
        <v>2023.4</v>
      </c>
      <c r="K47" s="210">
        <f>'RUA 1'!K47</f>
        <v>829.06</v>
      </c>
      <c r="L47" s="20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40"/>
      <c r="AD47" s="224"/>
      <c r="AE47" s="224"/>
      <c r="AF47" s="240"/>
      <c r="AG47" s="240"/>
    </row>
    <row r="48" spans="2:33" s="197" customFormat="1">
      <c r="B48" s="366"/>
      <c r="C48" s="366"/>
      <c r="D48" s="366"/>
      <c r="E48" s="367"/>
      <c r="F48" s="366"/>
      <c r="G48" s="368"/>
      <c r="H48" s="368"/>
      <c r="I48" s="368"/>
      <c r="K48" s="210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40"/>
      <c r="AA48" s="240"/>
      <c r="AB48" s="224"/>
      <c r="AC48" s="240"/>
      <c r="AD48" s="240"/>
      <c r="AE48" s="240"/>
      <c r="AF48" s="240"/>
      <c r="AG48" s="240"/>
    </row>
    <row r="49" spans="2:33" customFormat="1" ht="15">
      <c r="B49" s="371"/>
      <c r="C49" s="371"/>
      <c r="D49" s="371"/>
      <c r="E49" s="371"/>
      <c r="F49" s="371"/>
      <c r="G49" s="371"/>
      <c r="H49" s="371"/>
      <c r="I49" s="371"/>
    </row>
    <row r="50" spans="2:33" s="197" customFormat="1" ht="15">
      <c r="B50" s="238" t="s">
        <v>127</v>
      </c>
      <c r="C50" s="238" t="s">
        <v>52</v>
      </c>
      <c r="D50" s="238" t="s">
        <v>165</v>
      </c>
      <c r="E50" s="523" t="s">
        <v>166</v>
      </c>
      <c r="F50" s="523"/>
      <c r="G50" s="523"/>
      <c r="H50" s="523"/>
      <c r="I50" s="239">
        <f>SUM(I51)</f>
        <v>746.37</v>
      </c>
      <c r="K50" s="204"/>
      <c r="L50" s="20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40"/>
      <c r="AD50" s="224"/>
      <c r="AE50" s="224"/>
      <c r="AF50" s="240"/>
      <c r="AG50" s="240"/>
    </row>
    <row r="51" spans="2:33">
      <c r="B51" s="176" t="s">
        <v>158</v>
      </c>
      <c r="C51" s="176">
        <v>84523</v>
      </c>
      <c r="D51" s="176" t="s">
        <v>167</v>
      </c>
      <c r="E51" s="243" t="s">
        <v>168</v>
      </c>
      <c r="F51" s="176" t="s">
        <v>85</v>
      </c>
      <c r="G51" s="176">
        <f>'MEMORIAL 8'!B232</f>
        <v>1913.77</v>
      </c>
      <c r="H51" s="244">
        <f>ROUND(K51+(K51*$I$15),2)</f>
        <v>0.39</v>
      </c>
      <c r="I51" s="382">
        <f>ROUND(G51*H51,2)</f>
        <v>746.37</v>
      </c>
      <c r="K51" s="160">
        <f>'RUA 1'!K51</f>
        <v>0.32</v>
      </c>
    </row>
    <row r="52" spans="2:33">
      <c r="B52" s="524"/>
      <c r="C52" s="524"/>
      <c r="D52" s="524"/>
      <c r="E52" s="524"/>
      <c r="F52" s="524"/>
      <c r="G52" s="524"/>
      <c r="H52" s="524"/>
      <c r="I52" s="524"/>
    </row>
    <row r="54" spans="2:33">
      <c r="B54" s="518" t="s">
        <v>133</v>
      </c>
      <c r="C54" s="518"/>
      <c r="D54" s="518"/>
      <c r="E54" s="518"/>
      <c r="F54" s="518"/>
      <c r="G54" s="518"/>
      <c r="H54" s="518"/>
      <c r="I54" s="519">
        <f>I26+I20+I50+I38-0.01</f>
        <v>173299.84</v>
      </c>
    </row>
    <row r="55" spans="2:33">
      <c r="B55" s="518"/>
      <c r="C55" s="518"/>
      <c r="D55" s="518"/>
      <c r="E55" s="518"/>
      <c r="F55" s="518"/>
      <c r="G55" s="518"/>
      <c r="H55" s="518"/>
      <c r="I55" s="519"/>
    </row>
  </sheetData>
  <mergeCells count="29">
    <mergeCell ref="B15:C15"/>
    <mergeCell ref="D15:G15"/>
    <mergeCell ref="B1:I1"/>
    <mergeCell ref="B2:I2"/>
    <mergeCell ref="B3:I3"/>
    <mergeCell ref="B4:I4"/>
    <mergeCell ref="B5:I5"/>
    <mergeCell ref="B6:I6"/>
    <mergeCell ref="B7:I7"/>
    <mergeCell ref="B9:I9"/>
    <mergeCell ref="B10:I10"/>
    <mergeCell ref="C12:I12"/>
    <mergeCell ref="C13:I13"/>
    <mergeCell ref="B52:I52"/>
    <mergeCell ref="B54:H55"/>
    <mergeCell ref="I54:I55"/>
    <mergeCell ref="H17:I17"/>
    <mergeCell ref="E20:H20"/>
    <mergeCell ref="B24:I24"/>
    <mergeCell ref="E26:H26"/>
    <mergeCell ref="B36:I36"/>
    <mergeCell ref="E50:H50"/>
    <mergeCell ref="E38:H38"/>
    <mergeCell ref="B17:B18"/>
    <mergeCell ref="C17:C18"/>
    <mergeCell ref="D17:D18"/>
    <mergeCell ref="E17:E18"/>
    <mergeCell ref="F17:F18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horizontalDpi="4294967293" vertic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2:BU232"/>
  <sheetViews>
    <sheetView view="pageBreakPreview" topLeftCell="A82" zoomScale="85" zoomScaleSheetLayoutView="85" workbookViewId="0">
      <selection activeCell="AI99" sqref="AI99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4" width="3.7109375" style="200" customWidth="1"/>
    <col min="5" max="13" width="3.85546875" style="200" customWidth="1"/>
    <col min="14" max="15" width="3.85546875" style="199" customWidth="1"/>
    <col min="16" max="18" width="3.85546875" style="200" customWidth="1"/>
    <col min="19" max="19" width="3.85546875" style="199" customWidth="1"/>
    <col min="20" max="34" width="3.855468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395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35" t="s">
        <v>171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0</v>
      </c>
      <c r="C10" s="543"/>
      <c r="D10" s="199" t="s">
        <v>148</v>
      </c>
      <c r="E10" s="198" t="s">
        <v>175</v>
      </c>
      <c r="F10" s="543">
        <f>AK10</f>
        <v>0</v>
      </c>
      <c r="G10" s="543"/>
      <c r="H10" s="199" t="s">
        <v>148</v>
      </c>
      <c r="I10" s="198" t="s">
        <v>176</v>
      </c>
      <c r="J10" s="543">
        <f>B10*F10</f>
        <v>0</v>
      </c>
      <c r="K10" s="543"/>
      <c r="L10" s="199" t="s">
        <v>85</v>
      </c>
      <c r="N10" s="198"/>
      <c r="O10" s="198"/>
      <c r="AJ10" s="201">
        <v>0</v>
      </c>
      <c r="AK10" s="201">
        <v>0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AJ40</f>
        <v>275.38</v>
      </c>
      <c r="C16" s="530"/>
      <c r="D16" s="200" t="s">
        <v>148</v>
      </c>
      <c r="E16" s="214" t="s">
        <v>175</v>
      </c>
      <c r="F16" s="205"/>
      <c r="G16" s="543">
        <f>AK40</f>
        <v>6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2">
      <c r="A17" s="200" t="s">
        <v>443</v>
      </c>
      <c r="B17" s="204"/>
      <c r="C17" s="204"/>
      <c r="D17" s="204"/>
      <c r="E17" s="525">
        <v>261.49</v>
      </c>
      <c r="F17" s="525"/>
      <c r="AJ17" s="201"/>
      <c r="AK17" s="202"/>
      <c r="AL17" s="202"/>
      <c r="AM17" s="203"/>
      <c r="AN17" s="203"/>
    </row>
    <row r="18" spans="1:42">
      <c r="A18" s="200" t="s">
        <v>185</v>
      </c>
      <c r="B18" s="204"/>
      <c r="C18" s="525">
        <f>B16*G16+E17</f>
        <v>1913.77</v>
      </c>
      <c r="D18" s="525"/>
      <c r="E18" s="525"/>
      <c r="F18" s="206" t="s">
        <v>85</v>
      </c>
      <c r="AJ18" s="201"/>
      <c r="AK18" s="202"/>
      <c r="AL18" s="202"/>
      <c r="AM18" s="203"/>
      <c r="AN18" s="203"/>
    </row>
    <row r="19" spans="1:42">
      <c r="F19" s="216"/>
      <c r="G19" s="216"/>
      <c r="N19" s="200"/>
      <c r="O19" s="200"/>
      <c r="S19" s="200"/>
      <c r="AJ19" s="201"/>
      <c r="AK19" s="202"/>
      <c r="AL19" s="202"/>
      <c r="AM19" s="203"/>
      <c r="AN19" s="203"/>
    </row>
    <row r="20" spans="1:42" ht="15">
      <c r="A20" s="542" t="s">
        <v>428</v>
      </c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201"/>
      <c r="AK20" s="202"/>
      <c r="AL20" s="202"/>
      <c r="AM20" s="203"/>
      <c r="AN20" s="203"/>
    </row>
    <row r="21" spans="1:42">
      <c r="AJ21" s="201"/>
      <c r="AK21" s="202"/>
      <c r="AL21" s="202"/>
      <c r="AM21" s="203"/>
      <c r="AN21" s="203"/>
      <c r="AP21" s="247"/>
    </row>
    <row r="22" spans="1:42">
      <c r="A22" s="530" t="s">
        <v>442</v>
      </c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530"/>
      <c r="AB22" s="530"/>
      <c r="AC22" s="530"/>
      <c r="AD22" s="530"/>
      <c r="AE22" s="530"/>
      <c r="AF22" s="530"/>
      <c r="AG22" s="530"/>
      <c r="AH22" s="530"/>
      <c r="AI22" s="530"/>
      <c r="AJ22" s="201"/>
      <c r="AK22" s="202"/>
      <c r="AL22" s="202"/>
      <c r="AM22" s="203"/>
      <c r="AN22" s="203"/>
      <c r="AP22" s="248"/>
    </row>
    <row r="23" spans="1:42">
      <c r="AJ23" s="201" t="s">
        <v>178</v>
      </c>
      <c r="AK23" s="202"/>
      <c r="AL23" s="202"/>
      <c r="AM23" s="203"/>
      <c r="AN23" s="203"/>
      <c r="AP23" s="248"/>
    </row>
    <row r="24" spans="1:42">
      <c r="A24" s="200" t="s">
        <v>179</v>
      </c>
      <c r="B24" s="543">
        <f>AJ24</f>
        <v>2</v>
      </c>
      <c r="C24" s="543"/>
      <c r="D24" s="200" t="s">
        <v>102</v>
      </c>
      <c r="AJ24" s="201">
        <v>2</v>
      </c>
      <c r="AK24" s="202"/>
      <c r="AL24" s="202"/>
      <c r="AM24" s="203"/>
      <c r="AN24" s="203"/>
      <c r="AP24" s="248"/>
    </row>
    <row r="25" spans="1:42">
      <c r="AJ25" s="201"/>
      <c r="AK25" s="202"/>
      <c r="AL25" s="202"/>
      <c r="AM25" s="203"/>
      <c r="AN25" s="203"/>
      <c r="AP25" s="199"/>
    </row>
    <row r="26" spans="1:42" ht="15">
      <c r="A26" s="539" t="s">
        <v>180</v>
      </c>
      <c r="B26" s="540"/>
      <c r="C26" s="540"/>
      <c r="D26" s="540"/>
      <c r="E26" s="540"/>
      <c r="F26" s="540"/>
      <c r="G26" s="540"/>
      <c r="H26" s="540"/>
      <c r="I26" s="540"/>
      <c r="J26" s="540"/>
      <c r="K26" s="540"/>
      <c r="L26" s="540"/>
      <c r="M26" s="540"/>
      <c r="N26" s="540"/>
      <c r="O26" s="540"/>
      <c r="P26" s="540"/>
      <c r="Q26" s="540"/>
      <c r="R26" s="540"/>
      <c r="S26" s="540"/>
      <c r="T26" s="540"/>
      <c r="U26" s="540"/>
      <c r="V26" s="540"/>
      <c r="W26" s="540"/>
      <c r="X26" s="540"/>
      <c r="Y26" s="540"/>
      <c r="Z26" s="540"/>
      <c r="AA26" s="540"/>
      <c r="AB26" s="540"/>
      <c r="AC26" s="540"/>
      <c r="AD26" s="540"/>
      <c r="AE26" s="540"/>
      <c r="AF26" s="540"/>
      <c r="AG26" s="540"/>
      <c r="AH26" s="540"/>
      <c r="AI26" s="541"/>
      <c r="AJ26" s="201"/>
      <c r="AK26" s="202"/>
      <c r="AL26" s="202"/>
      <c r="AM26" s="203"/>
      <c r="AN26" s="203"/>
    </row>
    <row r="27" spans="1:42">
      <c r="AJ27" s="201"/>
      <c r="AK27" s="202"/>
      <c r="AL27" s="202"/>
      <c r="AM27" s="203"/>
      <c r="AN27" s="203"/>
    </row>
    <row r="28" spans="1:42" ht="15">
      <c r="A28" s="542" t="s">
        <v>409</v>
      </c>
      <c r="B28" s="542"/>
      <c r="C28" s="542"/>
      <c r="D28" s="542"/>
      <c r="E28" s="542"/>
      <c r="F28" s="542"/>
      <c r="G28" s="542"/>
      <c r="H28" s="542"/>
      <c r="I28" s="542"/>
      <c r="J28" s="542"/>
      <c r="K28" s="542"/>
      <c r="L28" s="542"/>
      <c r="M28" s="542"/>
      <c r="N28" s="542"/>
      <c r="O28" s="542"/>
      <c r="P28" s="542"/>
      <c r="Q28" s="542"/>
      <c r="R28" s="542"/>
      <c r="S28" s="542"/>
      <c r="T28" s="542"/>
      <c r="U28" s="542"/>
      <c r="V28" s="542"/>
      <c r="W28" s="542"/>
      <c r="X28" s="542"/>
      <c r="Y28" s="542"/>
      <c r="Z28" s="542"/>
      <c r="AA28" s="542"/>
      <c r="AB28" s="542"/>
      <c r="AC28" s="542"/>
      <c r="AD28" s="542"/>
      <c r="AE28" s="542"/>
      <c r="AF28" s="542"/>
      <c r="AG28" s="542"/>
      <c r="AH28" s="542"/>
      <c r="AI28" s="542"/>
      <c r="AJ28" s="201"/>
      <c r="AK28" s="202"/>
      <c r="AL28" s="202"/>
      <c r="AM28" s="203"/>
      <c r="AN28" s="203"/>
    </row>
    <row r="29" spans="1:42">
      <c r="AJ29" s="201"/>
      <c r="AK29" s="202"/>
      <c r="AL29" s="202"/>
      <c r="AM29" s="203"/>
      <c r="AN29" s="203"/>
    </row>
    <row r="30" spans="1:42">
      <c r="A30" s="530" t="s">
        <v>248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530"/>
      <c r="AB30" s="530"/>
      <c r="AC30" s="530"/>
      <c r="AD30" s="530"/>
      <c r="AE30" s="530"/>
      <c r="AF30" s="530"/>
      <c r="AG30" s="530"/>
      <c r="AH30" s="530"/>
      <c r="AI30" s="530"/>
      <c r="AJ30" s="201"/>
      <c r="AK30" s="202"/>
      <c r="AL30" s="202"/>
      <c r="AM30" s="203"/>
      <c r="AN30" s="203"/>
    </row>
    <row r="31" spans="1:42">
      <c r="A31" s="526"/>
      <c r="B31" s="526"/>
      <c r="C31" s="526"/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/>
      <c r="X31" s="526"/>
      <c r="Y31" s="526"/>
      <c r="Z31" s="526"/>
      <c r="AA31" s="526"/>
      <c r="AB31" s="526"/>
      <c r="AC31" s="526"/>
      <c r="AD31" s="526"/>
      <c r="AE31" s="526"/>
      <c r="AF31" s="526"/>
      <c r="AG31" s="526"/>
      <c r="AH31" s="526"/>
      <c r="AI31" s="526"/>
      <c r="AJ31" s="212"/>
      <c r="AK31" s="212"/>
      <c r="AL31" s="212"/>
      <c r="AM31" s="213"/>
      <c r="AN31" s="203"/>
    </row>
    <row r="32" spans="1:42">
      <c r="A32" s="200" t="s">
        <v>174</v>
      </c>
      <c r="B32" s="543">
        <f>AJ40</f>
        <v>275.38</v>
      </c>
      <c r="C32" s="530"/>
      <c r="D32" s="200" t="s">
        <v>148</v>
      </c>
      <c r="E32" s="214" t="s">
        <v>175</v>
      </c>
      <c r="F32" s="205"/>
      <c r="G32" s="543">
        <f>AK40</f>
        <v>6</v>
      </c>
      <c r="H32" s="543"/>
      <c r="I32" s="200" t="s">
        <v>148</v>
      </c>
      <c r="J32" s="214"/>
      <c r="K32" s="199"/>
      <c r="L32" s="199"/>
      <c r="N32" s="198"/>
      <c r="P32" s="199"/>
      <c r="AJ32" s="201"/>
      <c r="AK32" s="201"/>
      <c r="AL32" s="201"/>
      <c r="AM32" s="201"/>
      <c r="AN32" s="203"/>
    </row>
    <row r="33" spans="1:40">
      <c r="A33" s="200" t="s">
        <v>443</v>
      </c>
      <c r="B33" s="204"/>
      <c r="C33" s="204"/>
      <c r="D33" s="204"/>
      <c r="E33" s="525">
        <v>261.49</v>
      </c>
      <c r="F33" s="525"/>
      <c r="AJ33" s="201"/>
      <c r="AK33" s="202"/>
      <c r="AL33" s="202"/>
      <c r="AM33" s="203"/>
      <c r="AN33" s="203"/>
    </row>
    <row r="34" spans="1:40">
      <c r="A34" s="200" t="s">
        <v>174</v>
      </c>
      <c r="B34" s="532">
        <f>B32*G32+E33</f>
        <v>1913.77</v>
      </c>
      <c r="C34" s="532"/>
      <c r="D34" s="532"/>
      <c r="E34" s="206" t="s">
        <v>85</v>
      </c>
      <c r="AJ34" s="201"/>
      <c r="AK34" s="202"/>
      <c r="AL34" s="202"/>
      <c r="AM34" s="203"/>
      <c r="AN34" s="203"/>
    </row>
    <row r="35" spans="1:40">
      <c r="F35" s="216"/>
      <c r="G35" s="216"/>
      <c r="N35" s="200"/>
      <c r="O35" s="200"/>
      <c r="S35" s="200"/>
      <c r="AJ35" s="201"/>
      <c r="AK35" s="202"/>
      <c r="AL35" s="202"/>
      <c r="AM35" s="203"/>
      <c r="AN35" s="203"/>
    </row>
    <row r="36" spans="1:40" ht="15">
      <c r="A36" s="542" t="s">
        <v>372</v>
      </c>
      <c r="B36" s="542"/>
      <c r="C36" s="542"/>
      <c r="D36" s="542"/>
      <c r="E36" s="542"/>
      <c r="F36" s="542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  <c r="R36" s="542"/>
      <c r="S36" s="542"/>
      <c r="T36" s="542"/>
      <c r="U36" s="542"/>
      <c r="V36" s="542"/>
      <c r="W36" s="542"/>
      <c r="X36" s="542"/>
      <c r="Y36" s="542"/>
      <c r="Z36" s="542"/>
      <c r="AA36" s="542"/>
      <c r="AB36" s="542"/>
      <c r="AC36" s="542"/>
      <c r="AD36" s="542"/>
      <c r="AE36" s="542"/>
      <c r="AF36" s="542"/>
      <c r="AG36" s="542"/>
      <c r="AH36" s="542"/>
      <c r="AI36" s="542"/>
      <c r="AJ36" s="201"/>
      <c r="AK36" s="202"/>
      <c r="AL36" s="202"/>
      <c r="AM36" s="203"/>
      <c r="AN36" s="203"/>
    </row>
    <row r="37" spans="1:40">
      <c r="AJ37" s="201"/>
      <c r="AK37" s="202"/>
      <c r="AL37" s="202"/>
      <c r="AM37" s="203"/>
      <c r="AN37" s="203"/>
    </row>
    <row r="38" spans="1:40">
      <c r="A38" s="530" t="s">
        <v>248</v>
      </c>
      <c r="B38" s="530"/>
      <c r="C38" s="53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30"/>
      <c r="AC38" s="530"/>
      <c r="AD38" s="530"/>
      <c r="AE38" s="530"/>
      <c r="AF38" s="530"/>
      <c r="AG38" s="530"/>
      <c r="AH38" s="530"/>
      <c r="AI38" s="530"/>
      <c r="AJ38" s="201"/>
      <c r="AK38" s="202"/>
      <c r="AL38" s="202"/>
      <c r="AM38" s="203"/>
      <c r="AN38" s="203"/>
    </row>
    <row r="39" spans="1:40">
      <c r="A39" s="526"/>
      <c r="B39" s="526"/>
      <c r="C39" s="526"/>
      <c r="D39" s="526"/>
      <c r="E39" s="526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6"/>
      <c r="Q39" s="526"/>
      <c r="R39" s="526"/>
      <c r="S39" s="526"/>
      <c r="T39" s="526"/>
      <c r="U39" s="526"/>
      <c r="V39" s="526"/>
      <c r="W39" s="526"/>
      <c r="X39" s="526"/>
      <c r="Y39" s="526"/>
      <c r="Z39" s="526"/>
      <c r="AA39" s="526"/>
      <c r="AB39" s="526"/>
      <c r="AC39" s="526"/>
      <c r="AD39" s="526"/>
      <c r="AE39" s="526"/>
      <c r="AF39" s="526"/>
      <c r="AG39" s="526"/>
      <c r="AH39" s="526"/>
      <c r="AI39" s="526"/>
      <c r="AJ39" s="212" t="s">
        <v>181</v>
      </c>
      <c r="AK39" s="212" t="s">
        <v>182</v>
      </c>
      <c r="AL39" s="212" t="s">
        <v>183</v>
      </c>
      <c r="AM39" s="213" t="s">
        <v>184</v>
      </c>
      <c r="AN39" s="203"/>
    </row>
    <row r="40" spans="1:40">
      <c r="A40" s="200" t="s">
        <v>174</v>
      </c>
      <c r="B40" s="543">
        <f>AJ40</f>
        <v>275.38</v>
      </c>
      <c r="C40" s="530"/>
      <c r="D40" s="200" t="s">
        <v>148</v>
      </c>
      <c r="E40" s="214" t="s">
        <v>175</v>
      </c>
      <c r="F40" s="205"/>
      <c r="G40" s="543">
        <f>AK40</f>
        <v>6</v>
      </c>
      <c r="H40" s="543"/>
      <c r="I40" s="200" t="s">
        <v>148</v>
      </c>
      <c r="J40" s="214"/>
      <c r="K40" s="199"/>
      <c r="L40" s="199"/>
      <c r="N40" s="198"/>
      <c r="P40" s="199"/>
      <c r="AJ40" s="201">
        <v>275.38</v>
      </c>
      <c r="AK40" s="201">
        <v>6</v>
      </c>
      <c r="AL40" s="201">
        <v>1.35</v>
      </c>
      <c r="AM40" s="201">
        <v>1.35</v>
      </c>
      <c r="AN40" s="203"/>
    </row>
    <row r="41" spans="1:40">
      <c r="A41" s="200" t="s">
        <v>443</v>
      </c>
      <c r="B41" s="204"/>
      <c r="C41" s="204"/>
      <c r="D41" s="204"/>
      <c r="E41" s="525">
        <v>261.49</v>
      </c>
      <c r="F41" s="525"/>
      <c r="AJ41" s="201"/>
      <c r="AK41" s="202"/>
      <c r="AL41" s="202"/>
      <c r="AM41" s="203"/>
      <c r="AN41" s="203"/>
    </row>
    <row r="42" spans="1:40">
      <c r="A42" s="200" t="s">
        <v>185</v>
      </c>
      <c r="B42" s="204"/>
      <c r="C42" s="525">
        <f>AJ40*AK40+E41</f>
        <v>1913.77</v>
      </c>
      <c r="D42" s="525"/>
      <c r="E42" s="525"/>
      <c r="F42" s="206" t="s">
        <v>85</v>
      </c>
      <c r="AJ42" s="201"/>
      <c r="AK42" s="202"/>
      <c r="AL42" s="202"/>
      <c r="AM42" s="203"/>
      <c r="AN42" s="203"/>
    </row>
    <row r="43" spans="1:40">
      <c r="F43" s="216"/>
      <c r="G43" s="216"/>
      <c r="N43" s="200"/>
      <c r="O43" s="200"/>
      <c r="S43" s="200"/>
      <c r="AJ43" s="201"/>
      <c r="AK43" s="202"/>
      <c r="AL43" s="202"/>
      <c r="AM43" s="203"/>
      <c r="AN43" s="203"/>
    </row>
    <row r="44" spans="1:40" ht="15">
      <c r="A44" s="544" t="s">
        <v>383</v>
      </c>
      <c r="B44" s="544"/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544"/>
      <c r="Z44" s="544"/>
      <c r="AA44" s="544"/>
      <c r="AB44" s="544"/>
      <c r="AC44" s="544"/>
      <c r="AD44" s="544"/>
      <c r="AE44" s="544"/>
      <c r="AF44" s="544"/>
      <c r="AG44" s="544"/>
      <c r="AH44" s="544"/>
      <c r="AI44" s="544"/>
      <c r="AJ44" s="201"/>
      <c r="AK44" s="202"/>
      <c r="AL44" s="202"/>
      <c r="AM44" s="203"/>
      <c r="AN44" s="203"/>
    </row>
    <row r="45" spans="1:40">
      <c r="AJ45" s="201"/>
      <c r="AK45" s="202"/>
      <c r="AL45" s="202"/>
      <c r="AM45" s="203"/>
      <c r="AN45" s="203"/>
    </row>
    <row r="46" spans="1:40">
      <c r="A46" s="526" t="s">
        <v>187</v>
      </c>
      <c r="B46" s="526"/>
      <c r="C46" s="526"/>
      <c r="D46" s="526"/>
      <c r="E46" s="526"/>
      <c r="F46" s="526"/>
      <c r="G46" s="526"/>
      <c r="H46" s="526"/>
      <c r="I46" s="526"/>
      <c r="J46" s="526"/>
      <c r="K46" s="526"/>
      <c r="L46" s="526"/>
      <c r="M46" s="526"/>
      <c r="N46" s="526"/>
      <c r="O46" s="526"/>
      <c r="P46" s="526"/>
      <c r="Q46" s="526"/>
      <c r="R46" s="526"/>
      <c r="S46" s="526"/>
      <c r="T46" s="526"/>
      <c r="U46" s="526"/>
      <c r="V46" s="526"/>
      <c r="W46" s="526"/>
      <c r="X46" s="526"/>
      <c r="Y46" s="526"/>
      <c r="Z46" s="526"/>
      <c r="AA46" s="526"/>
      <c r="AB46" s="526"/>
      <c r="AC46" s="526"/>
      <c r="AD46" s="526"/>
      <c r="AE46" s="526"/>
      <c r="AF46" s="526"/>
      <c r="AG46" s="526"/>
      <c r="AH46" s="526"/>
      <c r="AI46" s="526"/>
      <c r="AJ46" s="201"/>
      <c r="AK46" s="202"/>
      <c r="AL46" s="202"/>
      <c r="AM46" s="203"/>
      <c r="AN46" s="203"/>
    </row>
    <row r="47" spans="1:40">
      <c r="AJ47" s="201"/>
      <c r="AK47" s="202"/>
      <c r="AL47" s="202"/>
      <c r="AM47" s="203"/>
      <c r="AN47" s="203"/>
    </row>
    <row r="48" spans="1:40">
      <c r="A48" s="526" t="s">
        <v>188</v>
      </c>
      <c r="B48" s="526"/>
      <c r="C48" s="526"/>
      <c r="D48" s="526"/>
      <c r="F48" s="531">
        <v>82.44</v>
      </c>
      <c r="G48" s="531"/>
      <c r="H48" s="200" t="s">
        <v>148</v>
      </c>
      <c r="AJ48" s="201"/>
      <c r="AK48" s="202"/>
      <c r="AL48" s="202"/>
      <c r="AM48" s="203"/>
      <c r="AN48" s="203"/>
    </row>
    <row r="49" spans="1:40">
      <c r="A49" s="526" t="s">
        <v>189</v>
      </c>
      <c r="B49" s="526"/>
      <c r="C49" s="526"/>
      <c r="D49" s="526"/>
      <c r="F49" s="531">
        <v>46.98</v>
      </c>
      <c r="G49" s="531"/>
      <c r="H49" s="200" t="s">
        <v>148</v>
      </c>
      <c r="AJ49" s="201"/>
      <c r="AK49" s="202"/>
      <c r="AL49" s="202"/>
      <c r="AM49" s="203"/>
      <c r="AN49" s="203"/>
    </row>
    <row r="50" spans="1:40">
      <c r="A50" s="526" t="s">
        <v>190</v>
      </c>
      <c r="B50" s="526"/>
      <c r="C50" s="526"/>
      <c r="D50" s="526"/>
      <c r="F50" s="531">
        <v>47.99</v>
      </c>
      <c r="G50" s="531"/>
      <c r="H50" s="200" t="s">
        <v>148</v>
      </c>
      <c r="AJ50" s="201"/>
      <c r="AK50" s="202"/>
      <c r="AL50" s="202"/>
      <c r="AM50" s="203"/>
      <c r="AN50" s="203"/>
    </row>
    <row r="51" spans="1:40">
      <c r="A51" s="526" t="s">
        <v>379</v>
      </c>
      <c r="B51" s="526"/>
      <c r="C51" s="526"/>
      <c r="D51" s="526"/>
      <c r="F51" s="531">
        <v>46.94</v>
      </c>
      <c r="G51" s="531"/>
      <c r="H51" s="200" t="s">
        <v>148</v>
      </c>
      <c r="AJ51" s="201"/>
      <c r="AK51" s="202"/>
      <c r="AL51" s="202"/>
      <c r="AM51" s="203"/>
      <c r="AN51" s="203"/>
    </row>
    <row r="52" spans="1:40">
      <c r="A52" s="526" t="s">
        <v>384</v>
      </c>
      <c r="B52" s="526"/>
      <c r="C52" s="526"/>
      <c r="D52" s="526"/>
      <c r="F52" s="531">
        <v>31.46</v>
      </c>
      <c r="G52" s="531"/>
      <c r="H52" s="200" t="s">
        <v>148</v>
      </c>
      <c r="AJ52" s="201"/>
      <c r="AK52" s="202"/>
      <c r="AL52" s="202"/>
      <c r="AM52" s="203"/>
      <c r="AN52" s="203"/>
    </row>
    <row r="53" spans="1:40">
      <c r="A53" s="526" t="s">
        <v>385</v>
      </c>
      <c r="B53" s="526"/>
      <c r="C53" s="526"/>
      <c r="D53" s="526"/>
      <c r="F53" s="531">
        <v>82.83</v>
      </c>
      <c r="G53" s="531"/>
      <c r="H53" s="200" t="s">
        <v>148</v>
      </c>
      <c r="AJ53" s="201"/>
      <c r="AK53" s="202"/>
      <c r="AL53" s="202"/>
      <c r="AM53" s="203"/>
      <c r="AN53" s="203"/>
    </row>
    <row r="54" spans="1:40">
      <c r="A54" s="526" t="s">
        <v>386</v>
      </c>
      <c r="B54" s="526"/>
      <c r="C54" s="526"/>
      <c r="D54" s="526"/>
      <c r="F54" s="531">
        <v>46.73</v>
      </c>
      <c r="G54" s="531"/>
      <c r="H54" s="200" t="s">
        <v>148</v>
      </c>
      <c r="AJ54" s="201"/>
      <c r="AK54" s="202"/>
      <c r="AL54" s="202"/>
      <c r="AM54" s="203"/>
      <c r="AN54" s="203"/>
    </row>
    <row r="55" spans="1:40">
      <c r="A55" s="526" t="s">
        <v>387</v>
      </c>
      <c r="B55" s="526"/>
      <c r="C55" s="526"/>
      <c r="D55" s="526"/>
      <c r="F55" s="531">
        <v>48.12</v>
      </c>
      <c r="G55" s="531"/>
      <c r="H55" s="200" t="s">
        <v>148</v>
      </c>
      <c r="AJ55" s="201"/>
      <c r="AK55" s="202"/>
      <c r="AL55" s="202"/>
      <c r="AM55" s="203"/>
      <c r="AN55" s="203"/>
    </row>
    <row r="56" spans="1:40">
      <c r="A56" s="526" t="s">
        <v>396</v>
      </c>
      <c r="B56" s="526"/>
      <c r="C56" s="526"/>
      <c r="D56" s="526"/>
      <c r="F56" s="531">
        <v>46.83</v>
      </c>
      <c r="G56" s="531"/>
      <c r="H56" s="200" t="s">
        <v>148</v>
      </c>
      <c r="AJ56" s="201"/>
      <c r="AK56" s="202"/>
      <c r="AL56" s="202"/>
      <c r="AM56" s="203"/>
      <c r="AN56" s="203"/>
    </row>
    <row r="57" spans="1:40">
      <c r="A57" s="526" t="s">
        <v>397</v>
      </c>
      <c r="B57" s="526"/>
      <c r="C57" s="526"/>
      <c r="D57" s="526"/>
      <c r="F57" s="531">
        <v>31.46</v>
      </c>
      <c r="G57" s="531"/>
      <c r="H57" s="200" t="s">
        <v>148</v>
      </c>
      <c r="AJ57" s="201"/>
      <c r="AK57" s="202"/>
      <c r="AL57" s="202"/>
      <c r="AM57" s="203"/>
      <c r="AN57" s="203"/>
    </row>
    <row r="58" spans="1:40">
      <c r="A58" s="215"/>
      <c r="B58" s="215"/>
      <c r="C58" s="215"/>
      <c r="D58" s="215"/>
      <c r="F58" s="216"/>
      <c r="G58" s="216"/>
      <c r="AJ58" s="201"/>
      <c r="AK58" s="202"/>
      <c r="AL58" s="202"/>
      <c r="AM58" s="203"/>
      <c r="AN58" s="203"/>
    </row>
    <row r="59" spans="1:40">
      <c r="A59" s="215" t="s">
        <v>191</v>
      </c>
      <c r="B59" s="215"/>
      <c r="C59" s="215"/>
      <c r="D59" s="215"/>
      <c r="F59" s="531">
        <f>SUM(F48:G57)</f>
        <v>511.78</v>
      </c>
      <c r="G59" s="531"/>
      <c r="H59" s="200" t="s">
        <v>148</v>
      </c>
      <c r="AJ59" s="201"/>
      <c r="AK59" s="202"/>
      <c r="AL59" s="202"/>
      <c r="AM59" s="203"/>
      <c r="AN59" s="203"/>
    </row>
    <row r="60" spans="1:40">
      <c r="AJ60" s="201"/>
      <c r="AK60" s="202"/>
      <c r="AL60" s="202"/>
      <c r="AM60" s="203"/>
      <c r="AN60" s="203"/>
    </row>
    <row r="61" spans="1:40" ht="15">
      <c r="A61" s="542" t="s">
        <v>422</v>
      </c>
      <c r="B61" s="542"/>
      <c r="C61" s="542"/>
      <c r="D61" s="542"/>
      <c r="E61" s="542"/>
      <c r="F61" s="542"/>
      <c r="G61" s="542"/>
      <c r="H61" s="542"/>
      <c r="I61" s="542"/>
      <c r="J61" s="542"/>
      <c r="K61" s="542"/>
      <c r="L61" s="542"/>
      <c r="M61" s="542"/>
      <c r="N61" s="542"/>
      <c r="O61" s="542"/>
      <c r="P61" s="542"/>
      <c r="Q61" s="542"/>
      <c r="R61" s="542"/>
      <c r="S61" s="542"/>
      <c r="T61" s="542"/>
      <c r="U61" s="542"/>
      <c r="V61" s="542"/>
      <c r="W61" s="542"/>
      <c r="X61" s="542"/>
      <c r="Y61" s="542"/>
      <c r="Z61" s="542"/>
      <c r="AA61" s="542"/>
      <c r="AB61" s="542"/>
      <c r="AC61" s="542"/>
      <c r="AD61" s="542"/>
      <c r="AE61" s="542"/>
      <c r="AF61" s="542"/>
      <c r="AG61" s="542"/>
      <c r="AH61" s="542"/>
      <c r="AI61" s="542"/>
      <c r="AJ61" s="201"/>
      <c r="AK61" s="202"/>
      <c r="AL61" s="202"/>
      <c r="AM61" s="203"/>
      <c r="AN61" s="203"/>
    </row>
    <row r="62" spans="1:40">
      <c r="AJ62" s="201"/>
      <c r="AK62" s="202"/>
      <c r="AL62" s="202"/>
      <c r="AM62" s="203"/>
      <c r="AN62" s="203"/>
    </row>
    <row r="63" spans="1:40">
      <c r="A63" s="530" t="s">
        <v>192</v>
      </c>
      <c r="B63" s="530"/>
      <c r="C63" s="530"/>
      <c r="D63" s="530"/>
      <c r="E63" s="530"/>
      <c r="F63" s="530"/>
      <c r="G63" s="530"/>
      <c r="H63" s="530"/>
      <c r="I63" s="530"/>
      <c r="J63" s="530"/>
      <c r="K63" s="530"/>
      <c r="L63" s="530"/>
      <c r="M63" s="530"/>
      <c r="N63" s="530"/>
      <c r="O63" s="530"/>
      <c r="P63" s="530"/>
      <c r="Q63" s="530"/>
      <c r="R63" s="530"/>
      <c r="S63" s="530"/>
      <c r="T63" s="530"/>
      <c r="U63" s="530"/>
      <c r="V63" s="530"/>
      <c r="W63" s="530"/>
      <c r="X63" s="530"/>
      <c r="Y63" s="530"/>
      <c r="Z63" s="530"/>
      <c r="AA63" s="530"/>
      <c r="AB63" s="530"/>
      <c r="AC63" s="530"/>
      <c r="AD63" s="530"/>
      <c r="AE63" s="530"/>
      <c r="AF63" s="530"/>
      <c r="AG63" s="530"/>
      <c r="AH63" s="530"/>
      <c r="AI63" s="530"/>
      <c r="AJ63" s="548" t="s">
        <v>193</v>
      </c>
      <c r="AK63" s="548"/>
      <c r="AL63" s="202"/>
      <c r="AM63" s="203"/>
      <c r="AN63" s="203"/>
    </row>
    <row r="64" spans="1:40">
      <c r="AJ64" s="202">
        <v>9</v>
      </c>
      <c r="AK64" s="203"/>
      <c r="AL64" s="202"/>
      <c r="AM64" s="203"/>
      <c r="AN64" s="203"/>
    </row>
    <row r="65" spans="1:40">
      <c r="A65" s="200" t="s">
        <v>174</v>
      </c>
      <c r="B65" s="543">
        <f>AK40</f>
        <v>6</v>
      </c>
      <c r="C65" s="543"/>
      <c r="D65" s="543"/>
      <c r="E65" s="200" t="s">
        <v>148</v>
      </c>
      <c r="F65" s="214" t="s">
        <v>175</v>
      </c>
      <c r="G65" s="543">
        <f>AJ64</f>
        <v>9</v>
      </c>
      <c r="H65" s="543"/>
      <c r="I65" s="200" t="s">
        <v>194</v>
      </c>
      <c r="J65" s="214"/>
      <c r="K65" s="205"/>
      <c r="L65" s="543"/>
      <c r="M65" s="543"/>
      <c r="P65" s="543"/>
      <c r="Q65" s="543"/>
      <c r="S65" s="525"/>
      <c r="T65" s="525"/>
      <c r="AJ65" s="201"/>
      <c r="AK65" s="202"/>
      <c r="AL65" s="202"/>
      <c r="AM65" s="203"/>
      <c r="AN65" s="203"/>
    </row>
    <row r="66" spans="1:40">
      <c r="A66" s="200" t="s">
        <v>174</v>
      </c>
      <c r="B66" s="543">
        <f>B65*G65</f>
        <v>54</v>
      </c>
      <c r="C66" s="543"/>
      <c r="D66" s="543"/>
      <c r="E66" s="200" t="s">
        <v>148</v>
      </c>
      <c r="AJ66" s="201"/>
      <c r="AK66" s="202"/>
      <c r="AL66" s="202"/>
      <c r="AM66" s="203"/>
      <c r="AN66" s="203"/>
    </row>
    <row r="67" spans="1:40">
      <c r="AJ67" s="201"/>
      <c r="AK67" s="202"/>
      <c r="AL67" s="202"/>
      <c r="AM67" s="203"/>
      <c r="AN67" s="203"/>
    </row>
    <row r="68" spans="1:40" s="223" customFormat="1" ht="27" customHeight="1">
      <c r="A68" s="544" t="s">
        <v>423</v>
      </c>
      <c r="B68" s="544"/>
      <c r="C68" s="544"/>
      <c r="D68" s="544"/>
      <c r="E68" s="544"/>
      <c r="F68" s="544"/>
      <c r="G68" s="544"/>
      <c r="H68" s="544"/>
      <c r="I68" s="544"/>
      <c r="J68" s="544"/>
      <c r="K68" s="544"/>
      <c r="L68" s="544"/>
      <c r="M68" s="544"/>
      <c r="N68" s="544"/>
      <c r="O68" s="544"/>
      <c r="P68" s="544"/>
      <c r="Q68" s="544"/>
      <c r="R68" s="544"/>
      <c r="S68" s="544"/>
      <c r="T68" s="544"/>
      <c r="U68" s="544"/>
      <c r="V68" s="544"/>
      <c r="W68" s="544"/>
      <c r="X68" s="544"/>
      <c r="Y68" s="544"/>
      <c r="Z68" s="544"/>
      <c r="AA68" s="544"/>
      <c r="AB68" s="544"/>
      <c r="AC68" s="544"/>
      <c r="AD68" s="544"/>
      <c r="AE68" s="544"/>
      <c r="AF68" s="544"/>
      <c r="AG68" s="544"/>
      <c r="AH68" s="544"/>
      <c r="AI68" s="544"/>
      <c r="AJ68" s="352"/>
      <c r="AK68" s="353"/>
      <c r="AL68" s="353"/>
      <c r="AM68" s="222"/>
      <c r="AN68" s="222"/>
    </row>
    <row r="69" spans="1:40">
      <c r="AJ69" s="201"/>
      <c r="AK69" s="202"/>
      <c r="AL69" s="202"/>
      <c r="AM69" s="203"/>
      <c r="AN69" s="203"/>
    </row>
    <row r="70" spans="1:40" ht="29.25" customHeight="1">
      <c r="A70" s="538" t="s">
        <v>195</v>
      </c>
      <c r="B70" s="538"/>
      <c r="C70" s="538"/>
      <c r="D70" s="538"/>
      <c r="E70" s="538"/>
      <c r="F70" s="538"/>
      <c r="G70" s="538"/>
      <c r="H70" s="538"/>
      <c r="I70" s="538"/>
      <c r="J70" s="538"/>
      <c r="K70" s="538"/>
      <c r="L70" s="538"/>
      <c r="M70" s="538"/>
      <c r="N70" s="538"/>
      <c r="O70" s="538"/>
      <c r="P70" s="538"/>
      <c r="Q70" s="538"/>
      <c r="R70" s="538"/>
      <c r="S70" s="538"/>
      <c r="T70" s="538"/>
      <c r="U70" s="538"/>
      <c r="V70" s="538"/>
      <c r="W70" s="538"/>
      <c r="X70" s="538"/>
      <c r="Y70" s="538"/>
      <c r="Z70" s="538"/>
      <c r="AA70" s="538"/>
      <c r="AB70" s="538"/>
      <c r="AC70" s="538"/>
      <c r="AD70" s="538"/>
      <c r="AE70" s="538"/>
      <c r="AF70" s="538"/>
      <c r="AG70" s="538"/>
      <c r="AH70" s="538"/>
      <c r="AI70" s="538"/>
      <c r="AJ70" s="201"/>
      <c r="AK70" s="202"/>
      <c r="AL70" s="202"/>
      <c r="AM70" s="203"/>
      <c r="AN70" s="203"/>
    </row>
    <row r="71" spans="1:40">
      <c r="AJ71" s="201"/>
      <c r="AK71" s="202"/>
      <c r="AL71" s="202"/>
      <c r="AM71" s="203"/>
      <c r="AN71" s="203"/>
    </row>
    <row r="72" spans="1:40">
      <c r="A72" s="526" t="s">
        <v>188</v>
      </c>
      <c r="B72" s="526"/>
      <c r="C72" s="526"/>
      <c r="D72" s="526"/>
      <c r="F72" s="531">
        <f>F48</f>
        <v>82.44</v>
      </c>
      <c r="G72" s="531"/>
      <c r="H72" s="526" t="s">
        <v>196</v>
      </c>
      <c r="I72" s="526"/>
      <c r="J72" s="531">
        <v>1</v>
      </c>
      <c r="K72" s="531"/>
      <c r="L72" s="526" t="s">
        <v>197</v>
      </c>
      <c r="M72" s="526"/>
      <c r="N72" s="532">
        <f>F72*J72</f>
        <v>82.44</v>
      </c>
      <c r="O72" s="532"/>
      <c r="P72" s="200" t="s">
        <v>148</v>
      </c>
      <c r="AJ72" s="201"/>
      <c r="AK72" s="202"/>
      <c r="AL72" s="202"/>
      <c r="AM72" s="203"/>
      <c r="AN72" s="203"/>
    </row>
    <row r="73" spans="1:40">
      <c r="A73" s="526" t="s">
        <v>189</v>
      </c>
      <c r="B73" s="526"/>
      <c r="C73" s="526"/>
      <c r="D73" s="526"/>
      <c r="F73" s="531">
        <f t="shared" ref="F73:F81" si="0">F49</f>
        <v>46.98</v>
      </c>
      <c r="G73" s="531"/>
      <c r="H73" s="526" t="s">
        <v>196</v>
      </c>
      <c r="I73" s="526"/>
      <c r="J73" s="531">
        <v>1</v>
      </c>
      <c r="K73" s="531"/>
      <c r="L73" s="526" t="s">
        <v>197</v>
      </c>
      <c r="M73" s="526"/>
      <c r="N73" s="532">
        <f>F73*J73</f>
        <v>46.98</v>
      </c>
      <c r="O73" s="532"/>
      <c r="P73" s="200" t="s">
        <v>148</v>
      </c>
      <c r="AJ73" s="201"/>
      <c r="AK73" s="202"/>
      <c r="AL73" s="202"/>
      <c r="AM73" s="203"/>
      <c r="AN73" s="203"/>
    </row>
    <row r="74" spans="1:40">
      <c r="A74" s="526" t="s">
        <v>190</v>
      </c>
      <c r="B74" s="526"/>
      <c r="C74" s="526"/>
      <c r="D74" s="526"/>
      <c r="F74" s="531">
        <f t="shared" si="0"/>
        <v>47.99</v>
      </c>
      <c r="G74" s="531"/>
      <c r="H74" s="526" t="s">
        <v>196</v>
      </c>
      <c r="I74" s="526"/>
      <c r="J74" s="531">
        <v>1</v>
      </c>
      <c r="K74" s="531"/>
      <c r="L74" s="526" t="s">
        <v>197</v>
      </c>
      <c r="M74" s="526"/>
      <c r="N74" s="532">
        <f>F74*J74</f>
        <v>47.99</v>
      </c>
      <c r="O74" s="532"/>
      <c r="P74" s="200" t="s">
        <v>148</v>
      </c>
      <c r="AJ74" s="201"/>
      <c r="AK74" s="202"/>
      <c r="AL74" s="202"/>
      <c r="AM74" s="203"/>
      <c r="AN74" s="203"/>
    </row>
    <row r="75" spans="1:40">
      <c r="A75" s="526" t="s">
        <v>379</v>
      </c>
      <c r="B75" s="526"/>
      <c r="C75" s="526"/>
      <c r="D75" s="526"/>
      <c r="F75" s="531">
        <f t="shared" si="0"/>
        <v>46.94</v>
      </c>
      <c r="G75" s="531"/>
      <c r="H75" s="526" t="s">
        <v>196</v>
      </c>
      <c r="I75" s="526"/>
      <c r="J75" s="531">
        <v>1</v>
      </c>
      <c r="K75" s="531"/>
      <c r="L75" s="526" t="s">
        <v>197</v>
      </c>
      <c r="M75" s="526"/>
      <c r="N75" s="532">
        <f t="shared" ref="N75:N81" si="1">F75*J75</f>
        <v>46.94</v>
      </c>
      <c r="O75" s="532"/>
      <c r="P75" s="200" t="s">
        <v>148</v>
      </c>
      <c r="AJ75" s="201"/>
      <c r="AK75" s="202"/>
      <c r="AL75" s="202"/>
      <c r="AM75" s="203"/>
      <c r="AN75" s="203"/>
    </row>
    <row r="76" spans="1:40">
      <c r="A76" s="526" t="s">
        <v>384</v>
      </c>
      <c r="B76" s="526"/>
      <c r="C76" s="526"/>
      <c r="D76" s="526"/>
      <c r="F76" s="531">
        <f t="shared" si="0"/>
        <v>31.46</v>
      </c>
      <c r="G76" s="531"/>
      <c r="H76" s="526" t="s">
        <v>196</v>
      </c>
      <c r="I76" s="526"/>
      <c r="J76" s="531">
        <v>1</v>
      </c>
      <c r="K76" s="531"/>
      <c r="L76" s="526" t="s">
        <v>197</v>
      </c>
      <c r="M76" s="526"/>
      <c r="N76" s="532">
        <f t="shared" si="1"/>
        <v>31.46</v>
      </c>
      <c r="O76" s="532"/>
      <c r="P76" s="200" t="s">
        <v>148</v>
      </c>
      <c r="AJ76" s="201"/>
      <c r="AK76" s="202"/>
      <c r="AL76" s="202"/>
      <c r="AM76" s="203"/>
      <c r="AN76" s="203"/>
    </row>
    <row r="77" spans="1:40">
      <c r="A77" s="526" t="s">
        <v>385</v>
      </c>
      <c r="B77" s="526"/>
      <c r="C77" s="526"/>
      <c r="D77" s="526"/>
      <c r="F77" s="531">
        <f t="shared" si="0"/>
        <v>82.83</v>
      </c>
      <c r="G77" s="531"/>
      <c r="H77" s="526" t="s">
        <v>196</v>
      </c>
      <c r="I77" s="526"/>
      <c r="J77" s="531">
        <v>1</v>
      </c>
      <c r="K77" s="531"/>
      <c r="L77" s="526" t="s">
        <v>197</v>
      </c>
      <c r="M77" s="526"/>
      <c r="N77" s="532">
        <f t="shared" si="1"/>
        <v>82.83</v>
      </c>
      <c r="O77" s="532"/>
      <c r="P77" s="200" t="s">
        <v>148</v>
      </c>
      <c r="AJ77" s="201"/>
      <c r="AK77" s="202"/>
      <c r="AL77" s="202"/>
      <c r="AM77" s="203"/>
      <c r="AN77" s="203"/>
    </row>
    <row r="78" spans="1:40">
      <c r="A78" s="526" t="s">
        <v>386</v>
      </c>
      <c r="B78" s="526"/>
      <c r="C78" s="526"/>
      <c r="D78" s="526"/>
      <c r="F78" s="531">
        <f t="shared" si="0"/>
        <v>46.73</v>
      </c>
      <c r="G78" s="531"/>
      <c r="H78" s="526" t="s">
        <v>196</v>
      </c>
      <c r="I78" s="526"/>
      <c r="J78" s="531">
        <v>1</v>
      </c>
      <c r="K78" s="531"/>
      <c r="L78" s="526" t="s">
        <v>197</v>
      </c>
      <c r="M78" s="526"/>
      <c r="N78" s="532">
        <f t="shared" si="1"/>
        <v>46.73</v>
      </c>
      <c r="O78" s="532"/>
      <c r="P78" s="200" t="s">
        <v>148</v>
      </c>
      <c r="AJ78" s="201"/>
      <c r="AK78" s="202"/>
      <c r="AL78" s="202"/>
      <c r="AM78" s="203"/>
      <c r="AN78" s="203"/>
    </row>
    <row r="79" spans="1:40">
      <c r="A79" s="526" t="s">
        <v>387</v>
      </c>
      <c r="B79" s="526"/>
      <c r="C79" s="526"/>
      <c r="D79" s="526"/>
      <c r="F79" s="531">
        <f t="shared" si="0"/>
        <v>48.12</v>
      </c>
      <c r="G79" s="531"/>
      <c r="H79" s="526" t="s">
        <v>196</v>
      </c>
      <c r="I79" s="526"/>
      <c r="J79" s="531">
        <v>1</v>
      </c>
      <c r="K79" s="531"/>
      <c r="L79" s="526" t="s">
        <v>197</v>
      </c>
      <c r="M79" s="526"/>
      <c r="N79" s="532">
        <f t="shared" si="1"/>
        <v>48.12</v>
      </c>
      <c r="O79" s="532"/>
      <c r="P79" s="200" t="s">
        <v>148</v>
      </c>
      <c r="AJ79" s="201"/>
      <c r="AK79" s="202"/>
      <c r="AL79" s="202"/>
      <c r="AM79" s="203"/>
      <c r="AN79" s="203"/>
    </row>
    <row r="80" spans="1:40">
      <c r="A80" s="526" t="s">
        <v>396</v>
      </c>
      <c r="B80" s="526"/>
      <c r="C80" s="526"/>
      <c r="D80" s="526"/>
      <c r="F80" s="531">
        <f t="shared" si="0"/>
        <v>46.83</v>
      </c>
      <c r="G80" s="531"/>
      <c r="H80" s="526" t="s">
        <v>196</v>
      </c>
      <c r="I80" s="526"/>
      <c r="J80" s="531">
        <v>1</v>
      </c>
      <c r="K80" s="531"/>
      <c r="L80" s="526" t="s">
        <v>197</v>
      </c>
      <c r="M80" s="526"/>
      <c r="N80" s="532">
        <f t="shared" si="1"/>
        <v>46.83</v>
      </c>
      <c r="O80" s="532"/>
      <c r="P80" s="200" t="s">
        <v>148</v>
      </c>
      <c r="AJ80" s="201"/>
      <c r="AK80" s="202"/>
      <c r="AL80" s="202"/>
      <c r="AM80" s="203"/>
      <c r="AN80" s="203"/>
    </row>
    <row r="81" spans="1:40">
      <c r="A81" s="526" t="s">
        <v>397</v>
      </c>
      <c r="B81" s="526"/>
      <c r="C81" s="526"/>
      <c r="D81" s="526"/>
      <c r="F81" s="531">
        <f t="shared" si="0"/>
        <v>31.46</v>
      </c>
      <c r="G81" s="531"/>
      <c r="H81" s="526" t="s">
        <v>196</v>
      </c>
      <c r="I81" s="526"/>
      <c r="J81" s="531">
        <v>1</v>
      </c>
      <c r="K81" s="531"/>
      <c r="L81" s="526" t="s">
        <v>197</v>
      </c>
      <c r="M81" s="526"/>
      <c r="N81" s="532">
        <f t="shared" si="1"/>
        <v>31.46</v>
      </c>
      <c r="O81" s="532"/>
      <c r="P81" s="200" t="s">
        <v>148</v>
      </c>
      <c r="AJ81" s="201"/>
      <c r="AK81" s="202"/>
      <c r="AL81" s="202"/>
      <c r="AM81" s="203"/>
      <c r="AN81" s="203"/>
    </row>
    <row r="82" spans="1:40">
      <c r="A82" s="200" t="s">
        <v>185</v>
      </c>
      <c r="C82" s="531">
        <f>SUM(N72:O81)</f>
        <v>511.78</v>
      </c>
      <c r="D82" s="533"/>
      <c r="E82" s="526" t="s">
        <v>196</v>
      </c>
      <c r="F82" s="526"/>
      <c r="G82" s="532">
        <f>AL40</f>
        <v>1.35</v>
      </c>
      <c r="H82" s="533"/>
      <c r="I82" s="526" t="s">
        <v>198</v>
      </c>
      <c r="J82" s="526"/>
      <c r="K82" s="525">
        <f>C82*G82</f>
        <v>690.9</v>
      </c>
      <c r="L82" s="525"/>
      <c r="M82" s="200" t="s">
        <v>85</v>
      </c>
      <c r="N82" s="204"/>
      <c r="O82" s="204"/>
      <c r="AJ82" s="201"/>
      <c r="AK82" s="202"/>
      <c r="AL82" s="202"/>
      <c r="AM82" s="203"/>
      <c r="AN82" s="203"/>
    </row>
    <row r="83" spans="1:40">
      <c r="F83" s="216"/>
      <c r="G83" s="216"/>
      <c r="H83" s="215"/>
      <c r="I83" s="215"/>
      <c r="J83" s="216"/>
      <c r="K83" s="216"/>
      <c r="L83" s="215"/>
      <c r="M83" s="215"/>
      <c r="N83" s="204"/>
      <c r="O83" s="204"/>
      <c r="AJ83" s="201"/>
      <c r="AK83" s="202"/>
      <c r="AL83" s="202"/>
      <c r="AM83" s="203"/>
      <c r="AN83" s="203"/>
    </row>
    <row r="84" spans="1:40">
      <c r="A84" s="200" t="s">
        <v>199</v>
      </c>
      <c r="E84" s="205"/>
      <c r="F84" s="205"/>
      <c r="H84" s="216"/>
      <c r="I84" s="216"/>
      <c r="J84" s="215"/>
      <c r="K84" s="215"/>
      <c r="L84" s="216"/>
      <c r="M84" s="216"/>
      <c r="AJ84" s="201"/>
      <c r="AK84" s="202"/>
      <c r="AL84" s="202"/>
      <c r="AM84" s="203"/>
      <c r="AN84" s="203"/>
    </row>
    <row r="85" spans="1:40">
      <c r="A85" s="526" t="s">
        <v>200</v>
      </c>
      <c r="B85" s="526"/>
      <c r="C85" s="526"/>
      <c r="D85" s="526"/>
      <c r="F85" s="531">
        <f>C119</f>
        <v>106.95</v>
      </c>
      <c r="G85" s="531"/>
      <c r="H85" s="526" t="s">
        <v>85</v>
      </c>
      <c r="I85" s="526"/>
      <c r="J85" s="531"/>
      <c r="K85" s="531"/>
      <c r="L85" s="526"/>
      <c r="M85" s="526"/>
      <c r="N85" s="532"/>
      <c r="O85" s="532"/>
      <c r="AJ85" s="201"/>
      <c r="AK85" s="202"/>
      <c r="AL85" s="202"/>
      <c r="AM85" s="203"/>
      <c r="AN85" s="203"/>
    </row>
    <row r="86" spans="1:40">
      <c r="A86" s="200" t="s">
        <v>201</v>
      </c>
      <c r="F86" s="531">
        <v>8.5</v>
      </c>
      <c r="G86" s="531"/>
      <c r="H86" s="526" t="s">
        <v>196</v>
      </c>
      <c r="I86" s="526"/>
      <c r="J86" s="531">
        <f>B93</f>
        <v>12</v>
      </c>
      <c r="K86" s="531"/>
      <c r="L86" s="526" t="s">
        <v>202</v>
      </c>
      <c r="M86" s="526"/>
      <c r="N86" s="532">
        <f>G82</f>
        <v>1.35</v>
      </c>
      <c r="O86" s="532"/>
      <c r="P86" s="200" t="s">
        <v>203</v>
      </c>
      <c r="Q86" s="528">
        <f>F86*J86*N86</f>
        <v>137.69999999999999</v>
      </c>
      <c r="R86" s="528"/>
      <c r="S86" s="199" t="s">
        <v>85</v>
      </c>
      <c r="AJ86" s="201"/>
      <c r="AK86" s="202"/>
      <c r="AL86" s="202"/>
      <c r="AM86" s="203"/>
      <c r="AN86" s="203"/>
    </row>
    <row r="87" spans="1:40">
      <c r="A87" s="200" t="s">
        <v>204</v>
      </c>
      <c r="F87" s="531">
        <f>K82</f>
        <v>690.9</v>
      </c>
      <c r="G87" s="533"/>
      <c r="H87" s="526" t="s">
        <v>205</v>
      </c>
      <c r="I87" s="526"/>
      <c r="J87" s="531">
        <f>SUM(F85,Q86)</f>
        <v>244.65</v>
      </c>
      <c r="K87" s="533"/>
      <c r="L87" s="526" t="s">
        <v>206</v>
      </c>
      <c r="M87" s="526"/>
      <c r="N87" s="525">
        <f>F87-J87</f>
        <v>446.25</v>
      </c>
      <c r="O87" s="525"/>
      <c r="P87" s="200" t="s">
        <v>85</v>
      </c>
      <c r="AJ87" s="201"/>
      <c r="AK87" s="202"/>
      <c r="AL87" s="202"/>
      <c r="AM87" s="203"/>
      <c r="AN87" s="203"/>
    </row>
    <row r="88" spans="1:40">
      <c r="AJ88" s="201"/>
      <c r="AK88" s="202"/>
      <c r="AL88" s="202"/>
      <c r="AM88" s="203"/>
      <c r="AN88" s="203"/>
    </row>
    <row r="89" spans="1:40" ht="27" customHeight="1">
      <c r="A89" s="544" t="s">
        <v>424</v>
      </c>
      <c r="B89" s="544"/>
      <c r="C89" s="544"/>
      <c r="D89" s="544"/>
      <c r="E89" s="544"/>
      <c r="F89" s="544"/>
      <c r="G89" s="544"/>
      <c r="H89" s="544"/>
      <c r="I89" s="544"/>
      <c r="J89" s="544"/>
      <c r="K89" s="544"/>
      <c r="L89" s="544"/>
      <c r="M89" s="544"/>
      <c r="N89" s="544"/>
      <c r="O89" s="544"/>
      <c r="P89" s="544"/>
      <c r="Q89" s="544"/>
      <c r="R89" s="544"/>
      <c r="S89" s="544"/>
      <c r="T89" s="544"/>
      <c r="U89" s="544"/>
      <c r="V89" s="544"/>
      <c r="W89" s="544"/>
      <c r="X89" s="544"/>
      <c r="Y89" s="544"/>
      <c r="Z89" s="544"/>
      <c r="AA89" s="544"/>
      <c r="AB89" s="544"/>
      <c r="AC89" s="544"/>
      <c r="AD89" s="544"/>
      <c r="AE89" s="544"/>
      <c r="AF89" s="544"/>
      <c r="AG89" s="544"/>
      <c r="AH89" s="544"/>
      <c r="AI89" s="544"/>
      <c r="AJ89" s="201"/>
      <c r="AK89" s="202"/>
      <c r="AL89" s="202"/>
      <c r="AM89" s="203"/>
      <c r="AN89" s="203"/>
    </row>
    <row r="90" spans="1:40">
      <c r="A90" s="223"/>
      <c r="AJ90" s="201"/>
      <c r="AK90" s="202"/>
      <c r="AL90" s="202"/>
      <c r="AM90" s="203"/>
      <c r="AN90" s="203"/>
    </row>
    <row r="91" spans="1:40">
      <c r="A91" s="530" t="s">
        <v>207</v>
      </c>
      <c r="B91" s="530"/>
      <c r="C91" s="530"/>
      <c r="D91" s="530"/>
      <c r="E91" s="530"/>
      <c r="F91" s="530"/>
      <c r="G91" s="530"/>
      <c r="H91" s="530"/>
      <c r="I91" s="530"/>
      <c r="J91" s="530"/>
      <c r="K91" s="530"/>
      <c r="L91" s="530"/>
      <c r="M91" s="530"/>
      <c r="N91" s="530"/>
      <c r="O91" s="530"/>
      <c r="P91" s="530"/>
      <c r="Q91" s="530"/>
      <c r="R91" s="530"/>
      <c r="S91" s="530"/>
      <c r="T91" s="530"/>
      <c r="U91" s="530"/>
      <c r="V91" s="530"/>
      <c r="W91" s="530"/>
      <c r="X91" s="530"/>
      <c r="Y91" s="530"/>
      <c r="Z91" s="530"/>
      <c r="AA91" s="530"/>
      <c r="AB91" s="530"/>
      <c r="AC91" s="530"/>
      <c r="AD91" s="530"/>
      <c r="AE91" s="530"/>
      <c r="AF91" s="530"/>
      <c r="AG91" s="530"/>
      <c r="AH91" s="530"/>
      <c r="AI91" s="530"/>
      <c r="AJ91" s="201"/>
      <c r="AK91" s="202"/>
      <c r="AL91" s="202"/>
      <c r="AM91" s="203"/>
      <c r="AN91" s="203"/>
    </row>
    <row r="92" spans="1:40">
      <c r="AJ92" s="201"/>
      <c r="AK92" s="202"/>
      <c r="AL92" s="202"/>
      <c r="AM92" s="203"/>
      <c r="AN92" s="203"/>
    </row>
    <row r="93" spans="1:40">
      <c r="A93" s="200" t="s">
        <v>179</v>
      </c>
      <c r="B93" s="543">
        <v>12</v>
      </c>
      <c r="C93" s="543"/>
      <c r="D93" s="530" t="s">
        <v>102</v>
      </c>
      <c r="E93" s="530"/>
      <c r="AJ93" s="201"/>
      <c r="AK93" s="202"/>
      <c r="AL93" s="202"/>
      <c r="AM93" s="203"/>
      <c r="AN93" s="203"/>
    </row>
    <row r="94" spans="1:40">
      <c r="AJ94" s="201"/>
      <c r="AK94" s="202"/>
      <c r="AL94" s="202"/>
      <c r="AM94" s="203"/>
      <c r="AN94" s="203"/>
    </row>
    <row r="95" spans="1:40" ht="31.5" customHeight="1">
      <c r="A95" s="544" t="s">
        <v>425</v>
      </c>
      <c r="B95" s="544"/>
      <c r="C95" s="544"/>
      <c r="D95" s="544"/>
      <c r="E95" s="544"/>
      <c r="F95" s="544"/>
      <c r="G95" s="544"/>
      <c r="H95" s="544"/>
      <c r="I95" s="544"/>
      <c r="J95" s="544"/>
      <c r="K95" s="544"/>
      <c r="L95" s="544"/>
      <c r="M95" s="544"/>
      <c r="N95" s="544"/>
      <c r="O95" s="544"/>
      <c r="P95" s="544"/>
      <c r="Q95" s="544"/>
      <c r="R95" s="544"/>
      <c r="S95" s="544"/>
      <c r="T95" s="544"/>
      <c r="U95" s="544"/>
      <c r="V95" s="544"/>
      <c r="W95" s="544"/>
      <c r="X95" s="544"/>
      <c r="Y95" s="544"/>
      <c r="Z95" s="544"/>
      <c r="AA95" s="544"/>
      <c r="AB95" s="544"/>
      <c r="AC95" s="544"/>
      <c r="AD95" s="544"/>
      <c r="AE95" s="544"/>
      <c r="AF95" s="544"/>
      <c r="AG95" s="544"/>
      <c r="AH95" s="544"/>
      <c r="AI95" s="544"/>
      <c r="AJ95" s="201"/>
      <c r="AK95" s="202"/>
      <c r="AL95" s="202"/>
      <c r="AM95" s="203"/>
      <c r="AN95" s="218"/>
    </row>
    <row r="96" spans="1:40">
      <c r="AJ96" s="201"/>
      <c r="AK96" s="202"/>
      <c r="AL96" s="202"/>
      <c r="AM96" s="203"/>
      <c r="AN96" s="203"/>
    </row>
    <row r="97" spans="1:40">
      <c r="A97" s="200" t="s">
        <v>208</v>
      </c>
      <c r="AJ97" s="201"/>
      <c r="AK97" s="202"/>
      <c r="AL97" s="202"/>
      <c r="AM97" s="203"/>
      <c r="AN97" s="203"/>
    </row>
    <row r="98" spans="1:40">
      <c r="AJ98" s="201"/>
      <c r="AK98" s="202"/>
      <c r="AL98" s="202"/>
      <c r="AM98" s="203"/>
      <c r="AN98" s="203"/>
    </row>
    <row r="99" spans="1:40">
      <c r="A99" s="526" t="s">
        <v>188</v>
      </c>
      <c r="B99" s="526"/>
      <c r="C99" s="526"/>
      <c r="D99" s="526"/>
      <c r="F99" s="531">
        <f>F72</f>
        <v>82.44</v>
      </c>
      <c r="G99" s="531"/>
      <c r="H99" s="526" t="s">
        <v>196</v>
      </c>
      <c r="I99" s="526"/>
      <c r="J99" s="531">
        <v>1</v>
      </c>
      <c r="K99" s="531"/>
      <c r="L99" s="526" t="s">
        <v>197</v>
      </c>
      <c r="M99" s="526"/>
      <c r="N99" s="532">
        <f>F99*J99</f>
        <v>82.44</v>
      </c>
      <c r="O99" s="532"/>
      <c r="P99" s="200" t="s">
        <v>148</v>
      </c>
      <c r="AJ99" s="201"/>
      <c r="AK99" s="202"/>
      <c r="AL99" s="202"/>
      <c r="AM99" s="203"/>
      <c r="AN99" s="203"/>
    </row>
    <row r="100" spans="1:40">
      <c r="A100" s="526" t="s">
        <v>189</v>
      </c>
      <c r="B100" s="526"/>
      <c r="C100" s="526"/>
      <c r="D100" s="526"/>
      <c r="F100" s="531">
        <f>F73</f>
        <v>46.98</v>
      </c>
      <c r="G100" s="531"/>
      <c r="H100" s="526" t="s">
        <v>196</v>
      </c>
      <c r="I100" s="526"/>
      <c r="J100" s="531">
        <v>1</v>
      </c>
      <c r="K100" s="531"/>
      <c r="L100" s="526" t="s">
        <v>197</v>
      </c>
      <c r="M100" s="526"/>
      <c r="N100" s="532">
        <f>F100*J100</f>
        <v>46.98</v>
      </c>
      <c r="O100" s="532"/>
      <c r="P100" s="200" t="s">
        <v>148</v>
      </c>
      <c r="AJ100" s="201"/>
      <c r="AK100" s="202"/>
      <c r="AL100" s="202"/>
      <c r="AM100" s="203"/>
      <c r="AN100" s="203"/>
    </row>
    <row r="101" spans="1:40">
      <c r="A101" s="526" t="s">
        <v>190</v>
      </c>
      <c r="B101" s="526"/>
      <c r="C101" s="526"/>
      <c r="D101" s="526"/>
      <c r="F101" s="531">
        <f>F74</f>
        <v>47.99</v>
      </c>
      <c r="G101" s="531"/>
      <c r="H101" s="526" t="s">
        <v>196</v>
      </c>
      <c r="I101" s="526"/>
      <c r="J101" s="531">
        <v>1</v>
      </c>
      <c r="K101" s="531"/>
      <c r="L101" s="526" t="s">
        <v>197</v>
      </c>
      <c r="M101" s="526"/>
      <c r="N101" s="532">
        <f>F101*J101</f>
        <v>47.99</v>
      </c>
      <c r="O101" s="532"/>
      <c r="P101" s="200" t="s">
        <v>148</v>
      </c>
      <c r="AJ101" s="201"/>
      <c r="AK101" s="202"/>
      <c r="AL101" s="202"/>
      <c r="AM101" s="203"/>
      <c r="AN101" s="203"/>
    </row>
    <row r="102" spans="1:40">
      <c r="A102" s="526" t="s">
        <v>379</v>
      </c>
      <c r="B102" s="526"/>
      <c r="C102" s="526"/>
      <c r="D102" s="526"/>
      <c r="F102" s="531">
        <f t="shared" ref="F102:F108" si="2">F75</f>
        <v>46.94</v>
      </c>
      <c r="G102" s="531"/>
      <c r="H102" s="526" t="s">
        <v>196</v>
      </c>
      <c r="I102" s="526"/>
      <c r="J102" s="531">
        <v>1</v>
      </c>
      <c r="K102" s="531"/>
      <c r="L102" s="526" t="s">
        <v>197</v>
      </c>
      <c r="M102" s="526"/>
      <c r="N102" s="532">
        <f t="shared" ref="N102:N108" si="3">F102*J102</f>
        <v>46.94</v>
      </c>
      <c r="O102" s="532"/>
      <c r="P102" s="200" t="s">
        <v>148</v>
      </c>
      <c r="AJ102" s="201"/>
      <c r="AK102" s="202"/>
      <c r="AL102" s="202"/>
      <c r="AM102" s="203"/>
      <c r="AN102" s="203"/>
    </row>
    <row r="103" spans="1:40">
      <c r="A103" s="526" t="s">
        <v>384</v>
      </c>
      <c r="B103" s="526"/>
      <c r="C103" s="526"/>
      <c r="D103" s="526"/>
      <c r="F103" s="531">
        <f t="shared" si="2"/>
        <v>31.46</v>
      </c>
      <c r="G103" s="531"/>
      <c r="H103" s="526" t="s">
        <v>196</v>
      </c>
      <c r="I103" s="526"/>
      <c r="J103" s="531">
        <v>1</v>
      </c>
      <c r="K103" s="531"/>
      <c r="L103" s="526" t="s">
        <v>197</v>
      </c>
      <c r="M103" s="526"/>
      <c r="N103" s="532">
        <f t="shared" si="3"/>
        <v>31.46</v>
      </c>
      <c r="O103" s="532"/>
      <c r="P103" s="200" t="s">
        <v>148</v>
      </c>
      <c r="AJ103" s="201"/>
      <c r="AK103" s="202"/>
      <c r="AL103" s="202"/>
      <c r="AM103" s="203"/>
      <c r="AN103" s="203"/>
    </row>
    <row r="104" spans="1:40">
      <c r="A104" s="526" t="s">
        <v>385</v>
      </c>
      <c r="B104" s="526"/>
      <c r="C104" s="526"/>
      <c r="D104" s="526"/>
      <c r="F104" s="531">
        <f t="shared" si="2"/>
        <v>82.83</v>
      </c>
      <c r="G104" s="531"/>
      <c r="H104" s="526" t="s">
        <v>196</v>
      </c>
      <c r="I104" s="526"/>
      <c r="J104" s="531">
        <v>1</v>
      </c>
      <c r="K104" s="531"/>
      <c r="L104" s="526" t="s">
        <v>197</v>
      </c>
      <c r="M104" s="526"/>
      <c r="N104" s="532">
        <f t="shared" si="3"/>
        <v>82.83</v>
      </c>
      <c r="O104" s="532"/>
      <c r="P104" s="200" t="s">
        <v>148</v>
      </c>
      <c r="AJ104" s="201"/>
      <c r="AK104" s="202"/>
      <c r="AL104" s="202"/>
      <c r="AM104" s="203"/>
      <c r="AN104" s="203"/>
    </row>
    <row r="105" spans="1:40">
      <c r="A105" s="526" t="s">
        <v>386</v>
      </c>
      <c r="B105" s="526"/>
      <c r="C105" s="526"/>
      <c r="D105" s="526"/>
      <c r="F105" s="531">
        <f t="shared" si="2"/>
        <v>46.73</v>
      </c>
      <c r="G105" s="531"/>
      <c r="H105" s="526" t="s">
        <v>196</v>
      </c>
      <c r="I105" s="526"/>
      <c r="J105" s="531">
        <v>1</v>
      </c>
      <c r="K105" s="531"/>
      <c r="L105" s="526" t="s">
        <v>197</v>
      </c>
      <c r="M105" s="526"/>
      <c r="N105" s="532">
        <f t="shared" si="3"/>
        <v>46.73</v>
      </c>
      <c r="O105" s="532"/>
      <c r="P105" s="200" t="s">
        <v>148</v>
      </c>
      <c r="AJ105" s="201"/>
      <c r="AK105" s="202"/>
      <c r="AL105" s="202"/>
      <c r="AM105" s="203"/>
      <c r="AN105" s="203"/>
    </row>
    <row r="106" spans="1:40">
      <c r="A106" s="526" t="s">
        <v>387</v>
      </c>
      <c r="B106" s="526"/>
      <c r="C106" s="526"/>
      <c r="D106" s="526"/>
      <c r="F106" s="531">
        <f t="shared" si="2"/>
        <v>48.12</v>
      </c>
      <c r="G106" s="531"/>
      <c r="H106" s="526" t="s">
        <v>196</v>
      </c>
      <c r="I106" s="526"/>
      <c r="J106" s="531">
        <v>1</v>
      </c>
      <c r="K106" s="531"/>
      <c r="L106" s="526" t="s">
        <v>197</v>
      </c>
      <c r="M106" s="526"/>
      <c r="N106" s="532">
        <f t="shared" si="3"/>
        <v>48.12</v>
      </c>
      <c r="O106" s="532"/>
      <c r="P106" s="200" t="s">
        <v>148</v>
      </c>
      <c r="AJ106" s="201"/>
      <c r="AK106" s="202"/>
      <c r="AL106" s="202"/>
      <c r="AM106" s="203"/>
      <c r="AN106" s="203"/>
    </row>
    <row r="107" spans="1:40">
      <c r="A107" s="526" t="s">
        <v>396</v>
      </c>
      <c r="B107" s="526"/>
      <c r="C107" s="526"/>
      <c r="D107" s="526"/>
      <c r="F107" s="531">
        <f t="shared" si="2"/>
        <v>46.83</v>
      </c>
      <c r="G107" s="531"/>
      <c r="H107" s="526" t="s">
        <v>196</v>
      </c>
      <c r="I107" s="526"/>
      <c r="J107" s="531">
        <v>1</v>
      </c>
      <c r="K107" s="531"/>
      <c r="L107" s="526" t="s">
        <v>197</v>
      </c>
      <c r="M107" s="526"/>
      <c r="N107" s="532">
        <f t="shared" si="3"/>
        <v>46.83</v>
      </c>
      <c r="O107" s="532"/>
      <c r="P107" s="200" t="s">
        <v>148</v>
      </c>
      <c r="AJ107" s="201"/>
      <c r="AK107" s="202"/>
      <c r="AL107" s="202"/>
      <c r="AM107" s="203"/>
      <c r="AN107" s="203"/>
    </row>
    <row r="108" spans="1:40">
      <c r="A108" s="526" t="s">
        <v>397</v>
      </c>
      <c r="B108" s="526"/>
      <c r="C108" s="526"/>
      <c r="D108" s="526"/>
      <c r="F108" s="531">
        <f t="shared" si="2"/>
        <v>31.46</v>
      </c>
      <c r="G108" s="531"/>
      <c r="H108" s="526" t="s">
        <v>196</v>
      </c>
      <c r="I108" s="526"/>
      <c r="J108" s="531">
        <v>1</v>
      </c>
      <c r="K108" s="531"/>
      <c r="L108" s="526" t="s">
        <v>197</v>
      </c>
      <c r="M108" s="526"/>
      <c r="N108" s="532">
        <f t="shared" si="3"/>
        <v>31.46</v>
      </c>
      <c r="O108" s="532"/>
      <c r="P108" s="200" t="s">
        <v>148</v>
      </c>
      <c r="AJ108" s="201"/>
      <c r="AK108" s="202"/>
      <c r="AL108" s="202"/>
      <c r="AM108" s="203"/>
      <c r="AN108" s="203"/>
    </row>
    <row r="109" spans="1:40">
      <c r="A109" s="215"/>
      <c r="B109" s="215"/>
      <c r="C109" s="215"/>
      <c r="D109" s="215"/>
      <c r="F109" s="216"/>
      <c r="G109" s="216"/>
      <c r="H109" s="215"/>
      <c r="I109" s="215"/>
      <c r="J109" s="216"/>
      <c r="K109" s="216"/>
      <c r="L109" s="215"/>
      <c r="M109" s="215"/>
      <c r="N109" s="204"/>
      <c r="O109" s="204"/>
      <c r="AJ109" s="201"/>
      <c r="AK109" s="202"/>
      <c r="AL109" s="202"/>
      <c r="AM109" s="203"/>
      <c r="AN109" s="203"/>
    </row>
    <row r="110" spans="1:40">
      <c r="A110" s="200" t="s">
        <v>199</v>
      </c>
      <c r="E110" s="205"/>
      <c r="F110" s="205"/>
      <c r="H110" s="216"/>
      <c r="I110" s="216"/>
      <c r="J110" s="215"/>
      <c r="K110" s="215"/>
      <c r="L110" s="216"/>
      <c r="M110" s="216"/>
      <c r="AJ110" s="201"/>
      <c r="AK110" s="202"/>
      <c r="AL110" s="202"/>
      <c r="AM110" s="203"/>
      <c r="AN110" s="203"/>
    </row>
    <row r="111" spans="1:40">
      <c r="A111" s="526" t="s">
        <v>201</v>
      </c>
      <c r="B111" s="526"/>
      <c r="C111" s="526"/>
      <c r="D111" s="526"/>
      <c r="F111" s="531">
        <v>8.5</v>
      </c>
      <c r="G111" s="531"/>
      <c r="H111" s="526" t="s">
        <v>196</v>
      </c>
      <c r="I111" s="526"/>
      <c r="J111" s="531">
        <f>B93</f>
        <v>12</v>
      </c>
      <c r="K111" s="531"/>
      <c r="L111" s="526" t="s">
        <v>197</v>
      </c>
      <c r="M111" s="526"/>
      <c r="N111" s="532">
        <f>F111*J111</f>
        <v>102</v>
      </c>
      <c r="O111" s="532"/>
      <c r="P111" s="200" t="s">
        <v>148</v>
      </c>
      <c r="AJ111" s="201"/>
      <c r="AK111" s="202"/>
      <c r="AL111" s="202"/>
      <c r="AM111" s="203"/>
      <c r="AN111" s="203"/>
    </row>
    <row r="112" spans="1:40">
      <c r="A112" s="526" t="s">
        <v>209</v>
      </c>
      <c r="B112" s="526"/>
      <c r="C112" s="526"/>
      <c r="D112" s="526"/>
      <c r="F112" s="531">
        <v>0.5</v>
      </c>
      <c r="G112" s="531"/>
      <c r="H112" s="526" t="s">
        <v>196</v>
      </c>
      <c r="I112" s="526"/>
      <c r="J112" s="531">
        <v>36</v>
      </c>
      <c r="K112" s="531"/>
      <c r="L112" s="526" t="s">
        <v>197</v>
      </c>
      <c r="M112" s="526"/>
      <c r="N112" s="532">
        <f>F112*J112</f>
        <v>18</v>
      </c>
      <c r="O112" s="532"/>
      <c r="P112" s="200" t="s">
        <v>148</v>
      </c>
      <c r="T112" s="199"/>
      <c r="U112" s="199"/>
      <c r="AJ112" s="201"/>
      <c r="AK112" s="202"/>
      <c r="AL112" s="202"/>
      <c r="AM112" s="203"/>
      <c r="AN112" s="203"/>
    </row>
    <row r="113" spans="1:40">
      <c r="A113" s="200" t="s">
        <v>210</v>
      </c>
      <c r="F113" s="531">
        <f>SUM(N99:O108)-SUM(N111:O112)</f>
        <v>391.78</v>
      </c>
      <c r="G113" s="533"/>
      <c r="H113" s="200" t="s">
        <v>211</v>
      </c>
      <c r="I113" s="533">
        <v>0.25</v>
      </c>
      <c r="J113" s="533"/>
      <c r="K113" s="200" t="s">
        <v>212</v>
      </c>
      <c r="L113" s="525">
        <f>F113*I113</f>
        <v>97.95</v>
      </c>
      <c r="M113" s="528"/>
      <c r="N113" s="199" t="s">
        <v>85</v>
      </c>
      <c r="AJ113" s="201"/>
      <c r="AK113" s="202"/>
      <c r="AL113" s="202"/>
      <c r="AM113" s="203"/>
      <c r="AN113" s="203"/>
    </row>
    <row r="114" spans="1:40">
      <c r="AJ114" s="201"/>
      <c r="AK114" s="202"/>
      <c r="AL114" s="202"/>
      <c r="AM114" s="203"/>
      <c r="AN114" s="203"/>
    </row>
    <row r="115" spans="1:40">
      <c r="A115" s="200" t="s">
        <v>213</v>
      </c>
      <c r="AJ115" s="201"/>
      <c r="AK115" s="202"/>
      <c r="AL115" s="202"/>
      <c r="AM115" s="203"/>
      <c r="AN115" s="203"/>
    </row>
    <row r="116" spans="1:40">
      <c r="E116" s="533"/>
      <c r="F116" s="533"/>
      <c r="H116" s="527"/>
      <c r="I116" s="527"/>
      <c r="J116" s="526"/>
      <c r="K116" s="526"/>
      <c r="L116" s="531"/>
      <c r="M116" s="531"/>
      <c r="AJ116" s="201"/>
      <c r="AK116" s="202"/>
      <c r="AL116" s="202"/>
      <c r="AM116" s="203"/>
      <c r="AN116" s="203"/>
    </row>
    <row r="117" spans="1:40">
      <c r="A117" s="526" t="s">
        <v>209</v>
      </c>
      <c r="B117" s="526"/>
      <c r="C117" s="526"/>
      <c r="D117" s="526"/>
      <c r="F117" s="531">
        <v>0.25</v>
      </c>
      <c r="G117" s="531"/>
      <c r="H117" s="526" t="s">
        <v>214</v>
      </c>
      <c r="I117" s="526"/>
      <c r="J117" s="531">
        <f>J112</f>
        <v>36</v>
      </c>
      <c r="K117" s="531"/>
      <c r="L117" s="526" t="s">
        <v>197</v>
      </c>
      <c r="M117" s="526"/>
      <c r="N117" s="532">
        <f>F117*J117</f>
        <v>9</v>
      </c>
      <c r="O117" s="532"/>
      <c r="P117" s="200" t="s">
        <v>85</v>
      </c>
      <c r="AJ117" s="201"/>
      <c r="AK117" s="202"/>
      <c r="AL117" s="202"/>
      <c r="AM117" s="203"/>
      <c r="AN117" s="203"/>
    </row>
    <row r="118" spans="1:40">
      <c r="E118" s="205"/>
      <c r="F118" s="205"/>
      <c r="H118" s="219"/>
      <c r="I118" s="219"/>
      <c r="J118" s="215"/>
      <c r="K118" s="215"/>
      <c r="L118" s="214"/>
      <c r="M118" s="214"/>
      <c r="AJ118" s="201"/>
      <c r="AK118" s="202"/>
      <c r="AL118" s="202"/>
      <c r="AM118" s="203"/>
      <c r="AN118" s="203"/>
    </row>
    <row r="119" spans="1:40">
      <c r="A119" s="200" t="s">
        <v>191</v>
      </c>
      <c r="C119" s="527">
        <f>L113+N117</f>
        <v>106.95</v>
      </c>
      <c r="D119" s="527"/>
      <c r="E119" s="205" t="s">
        <v>85</v>
      </c>
      <c r="F119" s="205"/>
      <c r="H119" s="219"/>
      <c r="I119" s="219"/>
      <c r="J119" s="215"/>
      <c r="K119" s="215"/>
      <c r="L119" s="214"/>
      <c r="M119" s="214"/>
      <c r="AJ119" s="201"/>
      <c r="AK119" s="202"/>
      <c r="AL119" s="202"/>
      <c r="AM119" s="203"/>
      <c r="AN119" s="203"/>
    </row>
    <row r="120" spans="1:40">
      <c r="AJ120" s="201"/>
      <c r="AK120" s="202"/>
      <c r="AL120" s="202"/>
      <c r="AM120" s="203"/>
      <c r="AN120" s="203"/>
    </row>
    <row r="121" spans="1:40" ht="15">
      <c r="A121" s="542" t="s">
        <v>426</v>
      </c>
      <c r="B121" s="542"/>
      <c r="C121" s="542"/>
      <c r="D121" s="542"/>
      <c r="E121" s="542"/>
      <c r="F121" s="542"/>
      <c r="G121" s="542"/>
      <c r="H121" s="542"/>
      <c r="I121" s="542"/>
      <c r="J121" s="542"/>
      <c r="K121" s="542"/>
      <c r="L121" s="542"/>
      <c r="M121" s="542"/>
      <c r="N121" s="542"/>
      <c r="O121" s="542"/>
      <c r="P121" s="542"/>
      <c r="Q121" s="542"/>
      <c r="R121" s="542"/>
      <c r="S121" s="542"/>
      <c r="T121" s="542"/>
      <c r="U121" s="542"/>
      <c r="V121" s="542"/>
      <c r="W121" s="542"/>
      <c r="X121" s="542"/>
      <c r="Y121" s="542"/>
      <c r="Z121" s="542"/>
      <c r="AA121" s="542"/>
      <c r="AB121" s="542"/>
      <c r="AC121" s="542"/>
      <c r="AD121" s="542"/>
      <c r="AE121" s="542"/>
      <c r="AF121" s="542"/>
      <c r="AG121" s="542"/>
      <c r="AH121" s="542"/>
      <c r="AI121" s="542"/>
      <c r="AJ121" s="201"/>
      <c r="AK121" s="202"/>
      <c r="AL121" s="202"/>
      <c r="AM121" s="203"/>
      <c r="AN121" s="203"/>
    </row>
    <row r="122" spans="1:40">
      <c r="AJ122" s="201"/>
      <c r="AK122" s="202"/>
      <c r="AL122" s="202"/>
      <c r="AM122" s="203"/>
      <c r="AN122" s="203"/>
    </row>
    <row r="123" spans="1:40">
      <c r="A123" s="530" t="s">
        <v>215</v>
      </c>
      <c r="B123" s="530"/>
      <c r="C123" s="530"/>
      <c r="D123" s="530"/>
      <c r="E123" s="530"/>
      <c r="F123" s="530"/>
      <c r="G123" s="530"/>
      <c r="H123" s="530"/>
      <c r="I123" s="530"/>
      <c r="J123" s="530"/>
      <c r="K123" s="530"/>
      <c r="L123" s="530"/>
      <c r="M123" s="530"/>
      <c r="N123" s="530"/>
      <c r="O123" s="530"/>
      <c r="P123" s="530"/>
      <c r="Q123" s="530"/>
      <c r="R123" s="530"/>
      <c r="S123" s="530"/>
      <c r="T123" s="530"/>
      <c r="U123" s="530"/>
      <c r="V123" s="530"/>
      <c r="W123" s="530"/>
      <c r="X123" s="530"/>
      <c r="Y123" s="530"/>
      <c r="Z123" s="530"/>
      <c r="AA123" s="530"/>
      <c r="AB123" s="530"/>
      <c r="AC123" s="530"/>
      <c r="AD123" s="530"/>
      <c r="AE123" s="530"/>
      <c r="AF123" s="530"/>
      <c r="AG123" s="530"/>
      <c r="AH123" s="530"/>
      <c r="AI123" s="530"/>
      <c r="AJ123" s="201"/>
      <c r="AK123" s="202"/>
      <c r="AL123" s="202"/>
      <c r="AM123" s="203"/>
      <c r="AN123" s="203"/>
    </row>
    <row r="124" spans="1:40">
      <c r="AJ124" s="201"/>
      <c r="AK124" s="202"/>
      <c r="AL124" s="202"/>
      <c r="AM124" s="203"/>
      <c r="AN124" s="203"/>
    </row>
    <row r="125" spans="1:40">
      <c r="A125" s="200" t="s">
        <v>174</v>
      </c>
      <c r="C125" s="525">
        <f>F59</f>
        <v>511.78</v>
      </c>
      <c r="D125" s="525"/>
      <c r="E125" s="198" t="s">
        <v>175</v>
      </c>
      <c r="F125" s="200" t="s">
        <v>216</v>
      </c>
      <c r="G125" s="528">
        <v>0.15</v>
      </c>
      <c r="H125" s="528"/>
      <c r="I125" s="198" t="s">
        <v>217</v>
      </c>
      <c r="J125" s="525">
        <v>0.15</v>
      </c>
      <c r="K125" s="525"/>
      <c r="L125" s="214" t="s">
        <v>218</v>
      </c>
      <c r="N125" s="200"/>
      <c r="O125" s="200"/>
      <c r="Q125" s="199"/>
      <c r="R125" s="199"/>
      <c r="AJ125" s="201"/>
      <c r="AK125" s="202"/>
      <c r="AL125" s="202"/>
      <c r="AM125" s="203"/>
      <c r="AN125" s="203"/>
    </row>
    <row r="126" spans="1:40">
      <c r="A126" s="200" t="s">
        <v>174</v>
      </c>
      <c r="B126" s="543">
        <f>C125*(G125+J125)</f>
        <v>153.53</v>
      </c>
      <c r="C126" s="543"/>
      <c r="D126" s="543"/>
      <c r="E126" s="200" t="s">
        <v>85</v>
      </c>
      <c r="AJ126" s="201"/>
      <c r="AK126" s="202"/>
      <c r="AL126" s="202"/>
      <c r="AM126" s="203"/>
      <c r="AN126" s="203"/>
    </row>
    <row r="127" spans="1:40">
      <c r="AJ127" s="201"/>
      <c r="AK127" s="202"/>
      <c r="AL127" s="202"/>
      <c r="AM127" s="203"/>
      <c r="AN127" s="203"/>
    </row>
    <row r="128" spans="1:40" s="223" customFormat="1" ht="15" customHeight="1">
      <c r="A128" s="544" t="s">
        <v>427</v>
      </c>
      <c r="B128" s="544"/>
      <c r="C128" s="544"/>
      <c r="D128" s="544"/>
      <c r="E128" s="544"/>
      <c r="F128" s="544"/>
      <c r="G128" s="544"/>
      <c r="H128" s="544"/>
      <c r="I128" s="544"/>
      <c r="J128" s="544"/>
      <c r="K128" s="544"/>
      <c r="L128" s="544"/>
      <c r="M128" s="544"/>
      <c r="N128" s="544"/>
      <c r="O128" s="544"/>
      <c r="P128" s="544"/>
      <c r="Q128" s="544"/>
      <c r="R128" s="544"/>
      <c r="S128" s="544"/>
      <c r="T128" s="544"/>
      <c r="U128" s="544"/>
      <c r="V128" s="544"/>
      <c r="W128" s="544"/>
      <c r="X128" s="544"/>
      <c r="Y128" s="544"/>
      <c r="Z128" s="544"/>
      <c r="AA128" s="544"/>
      <c r="AB128" s="544"/>
      <c r="AC128" s="544"/>
      <c r="AD128" s="544"/>
      <c r="AE128" s="544"/>
      <c r="AF128" s="544"/>
      <c r="AG128" s="544"/>
      <c r="AH128" s="544"/>
      <c r="AI128" s="544"/>
      <c r="AJ128" s="220"/>
      <c r="AK128" s="221"/>
      <c r="AL128" s="221"/>
      <c r="AM128" s="222"/>
      <c r="AN128" s="222"/>
    </row>
    <row r="129" spans="1:40">
      <c r="AM129" s="203"/>
      <c r="AN129" s="203"/>
    </row>
    <row r="130" spans="1:40">
      <c r="A130" s="538" t="s">
        <v>219</v>
      </c>
      <c r="B130" s="538"/>
      <c r="C130" s="538"/>
      <c r="D130" s="538"/>
      <c r="E130" s="538"/>
      <c r="F130" s="538"/>
      <c r="G130" s="538"/>
      <c r="H130" s="538"/>
      <c r="I130" s="538"/>
      <c r="J130" s="538"/>
      <c r="K130" s="538"/>
      <c r="L130" s="538"/>
      <c r="M130" s="538"/>
      <c r="N130" s="538"/>
      <c r="O130" s="538"/>
      <c r="P130" s="538"/>
      <c r="Q130" s="538"/>
      <c r="R130" s="538"/>
      <c r="S130" s="538"/>
      <c r="T130" s="538"/>
      <c r="U130" s="538"/>
      <c r="V130" s="538"/>
      <c r="W130" s="538"/>
      <c r="X130" s="538"/>
      <c r="Y130" s="538"/>
      <c r="Z130" s="538"/>
      <c r="AA130" s="538"/>
      <c r="AB130" s="538"/>
      <c r="AC130" s="538"/>
      <c r="AD130" s="538"/>
      <c r="AE130" s="538"/>
      <c r="AF130" s="538"/>
      <c r="AG130" s="538"/>
      <c r="AH130" s="538"/>
      <c r="AI130" s="538"/>
      <c r="AM130" s="203"/>
      <c r="AN130" s="203"/>
    </row>
    <row r="131" spans="1:40">
      <c r="A131" s="538"/>
      <c r="B131" s="538"/>
      <c r="C131" s="538"/>
      <c r="D131" s="538"/>
      <c r="E131" s="538"/>
      <c r="F131" s="538"/>
      <c r="G131" s="538"/>
      <c r="H131" s="538"/>
      <c r="I131" s="538"/>
      <c r="J131" s="538"/>
      <c r="K131" s="538"/>
      <c r="L131" s="538"/>
      <c r="M131" s="538"/>
      <c r="N131" s="538"/>
      <c r="O131" s="538"/>
      <c r="P131" s="538"/>
      <c r="Q131" s="538"/>
      <c r="R131" s="538"/>
      <c r="S131" s="538"/>
      <c r="T131" s="538"/>
      <c r="U131" s="538"/>
      <c r="V131" s="538"/>
      <c r="W131" s="538"/>
      <c r="X131" s="538"/>
      <c r="Y131" s="538"/>
      <c r="Z131" s="538"/>
      <c r="AA131" s="538"/>
      <c r="AB131" s="538"/>
      <c r="AC131" s="538"/>
      <c r="AD131" s="538"/>
      <c r="AE131" s="538"/>
      <c r="AF131" s="538"/>
      <c r="AG131" s="538"/>
      <c r="AH131" s="538"/>
      <c r="AI131" s="538"/>
      <c r="AM131" s="203"/>
      <c r="AN131" s="203"/>
    </row>
    <row r="132" spans="1:40">
      <c r="AJ132" s="525" t="s">
        <v>220</v>
      </c>
      <c r="AK132" s="525"/>
      <c r="AL132" s="199" t="s">
        <v>221</v>
      </c>
      <c r="AM132" s="203"/>
      <c r="AN132" s="203"/>
    </row>
    <row r="133" spans="1:40">
      <c r="B133" s="200" t="s">
        <v>222</v>
      </c>
      <c r="AK133" s="198"/>
      <c r="AM133" s="203"/>
      <c r="AN133" s="203"/>
    </row>
    <row r="134" spans="1:40">
      <c r="A134" s="200" t="s">
        <v>174</v>
      </c>
      <c r="B134" s="527">
        <f>AJ135</f>
        <v>1</v>
      </c>
      <c r="C134" s="527"/>
      <c r="D134" s="200" t="s">
        <v>102</v>
      </c>
      <c r="F134" s="200" t="s">
        <v>175</v>
      </c>
      <c r="G134" s="525">
        <f>AL135</f>
        <v>0.28000000000000003</v>
      </c>
      <c r="H134" s="525"/>
      <c r="I134" s="200" t="s">
        <v>223</v>
      </c>
      <c r="AK134" s="198"/>
      <c r="AM134" s="203"/>
      <c r="AN134" s="203"/>
    </row>
    <row r="135" spans="1:40">
      <c r="A135" s="200" t="s">
        <v>224</v>
      </c>
      <c r="B135" s="543">
        <f>B134*G134</f>
        <v>0.28000000000000003</v>
      </c>
      <c r="C135" s="543"/>
      <c r="D135" s="530" t="s">
        <v>85</v>
      </c>
      <c r="E135" s="530"/>
      <c r="AJ135" s="198">
        <v>1</v>
      </c>
      <c r="AL135" s="199">
        <f>PI()*0.3^2</f>
        <v>0.28000000000000003</v>
      </c>
      <c r="AM135" s="203"/>
      <c r="AN135" s="203"/>
    </row>
    <row r="137" spans="1:40">
      <c r="B137" s="200" t="s">
        <v>225</v>
      </c>
      <c r="AK137" s="198"/>
      <c r="AM137" s="203"/>
      <c r="AN137" s="203"/>
    </row>
    <row r="138" spans="1:40">
      <c r="A138" s="200" t="s">
        <v>174</v>
      </c>
      <c r="B138" s="527">
        <f>AJ139</f>
        <v>2</v>
      </c>
      <c r="C138" s="527"/>
      <c r="D138" s="200" t="s">
        <v>102</v>
      </c>
      <c r="F138" s="200" t="s">
        <v>175</v>
      </c>
      <c r="G138" s="525">
        <f>AL139</f>
        <v>0.2</v>
      </c>
      <c r="H138" s="525"/>
      <c r="I138" s="200" t="s">
        <v>223</v>
      </c>
      <c r="AJ138" s="525" t="s">
        <v>226</v>
      </c>
      <c r="AK138" s="525"/>
      <c r="AM138" s="203"/>
      <c r="AN138" s="203"/>
    </row>
    <row r="139" spans="1:40">
      <c r="A139" s="200" t="s">
        <v>224</v>
      </c>
      <c r="B139" s="543">
        <f>B138*G138</f>
        <v>0.4</v>
      </c>
      <c r="C139" s="543"/>
      <c r="D139" s="530" t="s">
        <v>85</v>
      </c>
      <c r="E139" s="530"/>
      <c r="AJ139" s="198">
        <v>2</v>
      </c>
      <c r="AL139" s="199">
        <f>PI()*0.25^2</f>
        <v>0.2</v>
      </c>
      <c r="AM139" s="203"/>
      <c r="AN139" s="203"/>
    </row>
    <row r="141" spans="1:40">
      <c r="A141" s="200" t="s">
        <v>185</v>
      </c>
      <c r="C141" s="525">
        <f>B135+B139</f>
        <v>0.68</v>
      </c>
      <c r="D141" s="528"/>
      <c r="E141" s="200" t="s">
        <v>85</v>
      </c>
    </row>
    <row r="143" spans="1:40" s="197" customFormat="1" ht="15">
      <c r="A143" s="539" t="s">
        <v>328</v>
      </c>
      <c r="B143" s="540"/>
      <c r="C143" s="540"/>
      <c r="D143" s="540"/>
      <c r="E143" s="540"/>
      <c r="F143" s="540"/>
      <c r="G143" s="540"/>
      <c r="H143" s="540"/>
      <c r="I143" s="540"/>
      <c r="J143" s="540"/>
      <c r="K143" s="540"/>
      <c r="L143" s="540"/>
      <c r="M143" s="540"/>
      <c r="N143" s="540"/>
      <c r="O143" s="540"/>
      <c r="P143" s="540"/>
      <c r="Q143" s="540"/>
      <c r="R143" s="540"/>
      <c r="S143" s="540"/>
      <c r="T143" s="540"/>
      <c r="U143" s="540"/>
      <c r="V143" s="540"/>
      <c r="W143" s="540"/>
      <c r="X143" s="540"/>
      <c r="Y143" s="540"/>
      <c r="Z143" s="540"/>
      <c r="AA143" s="540"/>
      <c r="AB143" s="540"/>
      <c r="AC143" s="540"/>
      <c r="AD143" s="540"/>
      <c r="AE143" s="540"/>
      <c r="AF143" s="540"/>
      <c r="AG143" s="540"/>
      <c r="AH143" s="540"/>
      <c r="AI143" s="541"/>
      <c r="AJ143" s="224"/>
      <c r="AK143" s="210"/>
      <c r="AL143" s="210"/>
    </row>
    <row r="144" spans="1:40" s="197" customFormat="1">
      <c r="A144" s="200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199"/>
      <c r="O144" s="199"/>
      <c r="P144" s="200"/>
      <c r="Q144" s="200"/>
      <c r="R144" s="200"/>
      <c r="S144" s="199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0"/>
      <c r="AE144" s="200"/>
      <c r="AF144" s="200"/>
      <c r="AG144" s="200"/>
      <c r="AH144" s="200"/>
      <c r="AI144" s="200"/>
      <c r="AJ144" s="224"/>
      <c r="AK144" s="210"/>
      <c r="AL144" s="210"/>
    </row>
    <row r="145" spans="1:38" s="197" customFormat="1" ht="15">
      <c r="A145" s="542" t="s">
        <v>329</v>
      </c>
      <c r="B145" s="542"/>
      <c r="C145" s="542"/>
      <c r="D145" s="542"/>
      <c r="E145" s="542"/>
      <c r="F145" s="542"/>
      <c r="G145" s="542"/>
      <c r="H145" s="542"/>
      <c r="I145" s="542"/>
      <c r="J145" s="542"/>
      <c r="K145" s="542"/>
      <c r="L145" s="542"/>
      <c r="M145" s="542"/>
      <c r="N145" s="542"/>
      <c r="O145" s="542"/>
      <c r="P145" s="542"/>
      <c r="Q145" s="542"/>
      <c r="R145" s="542"/>
      <c r="S145" s="542"/>
      <c r="T145" s="542"/>
      <c r="U145" s="542"/>
      <c r="V145" s="542"/>
      <c r="W145" s="542"/>
      <c r="X145" s="542"/>
      <c r="Y145" s="542"/>
      <c r="Z145" s="542"/>
      <c r="AA145" s="542"/>
      <c r="AB145" s="542"/>
      <c r="AC145" s="542"/>
      <c r="AD145" s="542"/>
      <c r="AE145" s="542"/>
      <c r="AF145" s="542"/>
      <c r="AG145" s="542"/>
      <c r="AH145" s="542"/>
      <c r="AI145" s="542"/>
      <c r="AJ145" s="224"/>
      <c r="AK145" s="210"/>
      <c r="AL145" s="210"/>
    </row>
    <row r="146" spans="1:38" s="197" customFormat="1">
      <c r="A146" s="200"/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199"/>
      <c r="O146" s="199"/>
      <c r="P146" s="200"/>
      <c r="Q146" s="200"/>
      <c r="R146" s="200"/>
      <c r="S146" s="199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24"/>
      <c r="AK146" s="210"/>
      <c r="AL146" s="210"/>
    </row>
    <row r="147" spans="1:38" s="197" customFormat="1">
      <c r="A147" s="530" t="s">
        <v>335</v>
      </c>
      <c r="B147" s="530"/>
      <c r="C147" s="530"/>
      <c r="D147" s="530"/>
      <c r="E147" s="530"/>
      <c r="F147" s="530"/>
      <c r="G147" s="530"/>
      <c r="H147" s="530"/>
      <c r="I147" s="530"/>
      <c r="J147" s="530"/>
      <c r="K147" s="530"/>
      <c r="L147" s="530"/>
      <c r="M147" s="530"/>
      <c r="N147" s="530"/>
      <c r="O147" s="530"/>
      <c r="P147" s="530"/>
      <c r="Q147" s="530"/>
      <c r="R147" s="530"/>
      <c r="S147" s="530"/>
      <c r="T147" s="530"/>
      <c r="U147" s="530"/>
      <c r="V147" s="530"/>
      <c r="W147" s="530"/>
      <c r="X147" s="530"/>
      <c r="Y147" s="530"/>
      <c r="Z147" s="530"/>
      <c r="AA147" s="530"/>
      <c r="AB147" s="530"/>
      <c r="AC147" s="530"/>
      <c r="AD147" s="530"/>
      <c r="AE147" s="530"/>
      <c r="AF147" s="530"/>
      <c r="AG147" s="530"/>
      <c r="AH147" s="530"/>
      <c r="AI147" s="530"/>
      <c r="AJ147" s="224"/>
      <c r="AK147" s="210"/>
      <c r="AL147" s="210"/>
    </row>
    <row r="148" spans="1:38" s="197" customFormat="1">
      <c r="A148" s="200"/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24"/>
      <c r="AK148" s="210"/>
      <c r="AL148" s="210"/>
    </row>
    <row r="149" spans="1:38" s="197" customFormat="1">
      <c r="A149" s="526" t="s">
        <v>350</v>
      </c>
      <c r="B149" s="526"/>
      <c r="C149" s="526"/>
      <c r="D149" s="526"/>
      <c r="E149" s="526"/>
      <c r="F149" s="526"/>
      <c r="G149" s="531">
        <v>21</v>
      </c>
      <c r="H149" s="531"/>
      <c r="I149" s="200" t="s">
        <v>196</v>
      </c>
      <c r="J149" s="531">
        <v>2</v>
      </c>
      <c r="K149" s="531"/>
      <c r="L149" s="528" t="s">
        <v>197</v>
      </c>
      <c r="M149" s="528"/>
      <c r="N149" s="531">
        <f>G149*J149</f>
        <v>42</v>
      </c>
      <c r="O149" s="531"/>
      <c r="P149" s="200" t="s">
        <v>148</v>
      </c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24"/>
      <c r="AK149" s="210"/>
      <c r="AL149" s="210"/>
    </row>
    <row r="150" spans="1:38" s="197" customFormat="1">
      <c r="A150" s="200"/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24"/>
      <c r="AK150" s="210"/>
      <c r="AL150" s="210"/>
    </row>
    <row r="151" spans="1:38" s="197" customFormat="1">
      <c r="A151" s="200" t="s">
        <v>191</v>
      </c>
      <c r="B151" s="200"/>
      <c r="C151" s="527">
        <f>SUM(N149:N149)</f>
        <v>42</v>
      </c>
      <c r="D151" s="527"/>
      <c r="E151" s="200" t="s">
        <v>148</v>
      </c>
      <c r="F151" s="200"/>
      <c r="G151" s="200"/>
      <c r="H151" s="200"/>
      <c r="I151" s="200"/>
      <c r="J151" s="200"/>
      <c r="K151" s="200"/>
      <c r="L151" s="200"/>
      <c r="M151" s="200"/>
      <c r="N151" s="199"/>
      <c r="O151" s="199"/>
      <c r="P151" s="200"/>
      <c r="Q151" s="200"/>
      <c r="R151" s="200"/>
      <c r="S151" s="199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24"/>
      <c r="AK151" s="210"/>
      <c r="AL151" s="210"/>
    </row>
    <row r="152" spans="1:38" s="197" customFormat="1">
      <c r="A152" s="200"/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199"/>
      <c r="O152" s="199"/>
      <c r="P152" s="200"/>
      <c r="Q152" s="200"/>
      <c r="R152" s="200"/>
      <c r="S152" s="199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24"/>
      <c r="AK152" s="210"/>
      <c r="AL152" s="210"/>
    </row>
    <row r="153" spans="1:38" s="197" customFormat="1" ht="29.25" customHeight="1">
      <c r="A153" s="529" t="s">
        <v>336</v>
      </c>
      <c r="B153" s="529"/>
      <c r="C153" s="529"/>
      <c r="D153" s="529"/>
      <c r="E153" s="529"/>
      <c r="F153" s="529"/>
      <c r="G153" s="529"/>
      <c r="H153" s="529"/>
      <c r="I153" s="529"/>
      <c r="J153" s="529"/>
      <c r="K153" s="529"/>
      <c r="L153" s="529"/>
      <c r="M153" s="529"/>
      <c r="N153" s="529"/>
      <c r="O153" s="529"/>
      <c r="P153" s="529"/>
      <c r="Q153" s="529"/>
      <c r="R153" s="529"/>
      <c r="S153" s="529"/>
      <c r="T153" s="529"/>
      <c r="U153" s="529"/>
      <c r="V153" s="529"/>
      <c r="W153" s="529"/>
      <c r="X153" s="529"/>
      <c r="Y153" s="529"/>
      <c r="Z153" s="529"/>
      <c r="AA153" s="529"/>
      <c r="AB153" s="529"/>
      <c r="AC153" s="529"/>
      <c r="AD153" s="529"/>
      <c r="AE153" s="529"/>
      <c r="AF153" s="529"/>
      <c r="AG153" s="529"/>
      <c r="AH153" s="529"/>
      <c r="AI153" s="529"/>
      <c r="AJ153" s="224"/>
      <c r="AK153" s="210"/>
      <c r="AL153" s="210"/>
    </row>
    <row r="154" spans="1:38" s="197" customFormat="1" ht="15">
      <c r="A154" s="385"/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5"/>
      <c r="P154" s="385"/>
      <c r="Q154" s="385"/>
      <c r="R154" s="385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5"/>
      <c r="AG154" s="385"/>
      <c r="AH154" s="385"/>
      <c r="AI154" s="385"/>
      <c r="AJ154" s="224"/>
      <c r="AK154" s="210"/>
      <c r="AL154" s="210"/>
    </row>
    <row r="155" spans="1:38" s="197" customFormat="1">
      <c r="A155" s="538" t="s">
        <v>337</v>
      </c>
      <c r="B155" s="538"/>
      <c r="C155" s="538"/>
      <c r="D155" s="538"/>
      <c r="E155" s="538"/>
      <c r="F155" s="538"/>
      <c r="G155" s="538"/>
      <c r="H155" s="538"/>
      <c r="I155" s="538"/>
      <c r="J155" s="538"/>
      <c r="K155" s="538"/>
      <c r="L155" s="538"/>
      <c r="M155" s="538"/>
      <c r="N155" s="538"/>
      <c r="O155" s="538"/>
      <c r="P155" s="538"/>
      <c r="Q155" s="538"/>
      <c r="R155" s="538"/>
      <c r="S155" s="538"/>
      <c r="T155" s="538"/>
      <c r="U155" s="538"/>
      <c r="V155" s="538"/>
      <c r="W155" s="538"/>
      <c r="X155" s="538"/>
      <c r="Y155" s="538"/>
      <c r="Z155" s="538"/>
      <c r="AA155" s="538"/>
      <c r="AB155" s="538"/>
      <c r="AC155" s="538"/>
      <c r="AD155" s="538"/>
      <c r="AE155" s="538"/>
      <c r="AF155" s="538"/>
      <c r="AG155" s="538"/>
      <c r="AH155" s="538"/>
      <c r="AI155" s="538"/>
      <c r="AJ155" s="224"/>
      <c r="AK155" s="210"/>
      <c r="AL155" s="210"/>
    </row>
    <row r="156" spans="1:38" s="197" customFormat="1" ht="15">
      <c r="A156" s="385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5"/>
      <c r="P156" s="385"/>
      <c r="Q156" s="385"/>
      <c r="R156" s="385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5"/>
      <c r="AG156" s="385"/>
      <c r="AH156" s="385"/>
      <c r="AI156" s="385"/>
      <c r="AL156" s="210"/>
    </row>
    <row r="157" spans="1:38" s="197" customFormat="1">
      <c r="A157" s="200"/>
      <c r="B157" s="200"/>
      <c r="C157" s="200"/>
      <c r="D157" s="200"/>
      <c r="E157" s="200"/>
      <c r="F157" s="200"/>
      <c r="G157" s="528" t="s">
        <v>81</v>
      </c>
      <c r="H157" s="528"/>
      <c r="I157" s="200"/>
      <c r="J157" s="528" t="s">
        <v>338</v>
      </c>
      <c r="K157" s="528"/>
      <c r="L157" s="200"/>
      <c r="M157" s="200"/>
      <c r="N157" s="525" t="s">
        <v>339</v>
      </c>
      <c r="O157" s="525"/>
      <c r="P157" s="200"/>
      <c r="Q157" s="200"/>
      <c r="R157" s="528" t="s">
        <v>340</v>
      </c>
      <c r="S157" s="528"/>
      <c r="T157" s="200"/>
      <c r="U157" s="200"/>
      <c r="V157" s="528" t="s">
        <v>293</v>
      </c>
      <c r="W157" s="528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24"/>
      <c r="AK157" s="210"/>
      <c r="AL157" s="210"/>
    </row>
    <row r="158" spans="1:38" s="197" customFormat="1">
      <c r="A158" s="526" t="s">
        <v>350</v>
      </c>
      <c r="B158" s="526"/>
      <c r="C158" s="526"/>
      <c r="D158" s="526"/>
      <c r="E158" s="526"/>
      <c r="F158" s="526"/>
      <c r="G158" s="531">
        <f>C151</f>
        <v>42</v>
      </c>
      <c r="H158" s="533"/>
      <c r="I158" s="200" t="s">
        <v>196</v>
      </c>
      <c r="J158" s="531">
        <v>1.5</v>
      </c>
      <c r="K158" s="531"/>
      <c r="L158" s="526" t="s">
        <v>196</v>
      </c>
      <c r="M158" s="526"/>
      <c r="N158" s="532">
        <f>1.2+0.15</f>
        <v>1.35</v>
      </c>
      <c r="O158" s="532"/>
      <c r="P158" s="526" t="s">
        <v>196</v>
      </c>
      <c r="Q158" s="526"/>
      <c r="R158" s="531">
        <v>1</v>
      </c>
      <c r="S158" s="531"/>
      <c r="T158" s="526" t="s">
        <v>197</v>
      </c>
      <c r="U158" s="526"/>
      <c r="V158" s="527">
        <f>G158*J158*N158*R158</f>
        <v>85.05</v>
      </c>
      <c r="W158" s="527"/>
      <c r="X158" s="225" t="s">
        <v>58</v>
      </c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24"/>
      <c r="AK158" s="210"/>
      <c r="AL158" s="210"/>
    </row>
    <row r="159" spans="1:38" s="197" customFormat="1">
      <c r="A159" s="200" t="s">
        <v>341</v>
      </c>
      <c r="B159" s="200"/>
      <c r="C159" s="200"/>
      <c r="D159" s="200"/>
      <c r="E159" s="200"/>
      <c r="F159" s="200"/>
      <c r="G159" s="531">
        <v>1.5</v>
      </c>
      <c r="H159" s="531"/>
      <c r="I159" s="200" t="s">
        <v>196</v>
      </c>
      <c r="J159" s="531">
        <v>1.5</v>
      </c>
      <c r="K159" s="531"/>
      <c r="L159" s="526" t="s">
        <v>196</v>
      </c>
      <c r="M159" s="526"/>
      <c r="N159" s="532">
        <f>1.2+0.15</f>
        <v>1.35</v>
      </c>
      <c r="O159" s="532"/>
      <c r="P159" s="526" t="s">
        <v>196</v>
      </c>
      <c r="Q159" s="526"/>
      <c r="R159" s="531">
        <v>4</v>
      </c>
      <c r="S159" s="531"/>
      <c r="T159" s="526" t="s">
        <v>197</v>
      </c>
      <c r="U159" s="526"/>
      <c r="V159" s="527">
        <f t="shared" ref="V159" si="4">G159*J159*N159*R159</f>
        <v>12.15</v>
      </c>
      <c r="W159" s="527"/>
      <c r="X159" s="225" t="s">
        <v>58</v>
      </c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24"/>
      <c r="AK159" s="210"/>
      <c r="AL159" s="210"/>
    </row>
    <row r="160" spans="1:38" s="197" customFormat="1">
      <c r="A160" s="200"/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199"/>
      <c r="O160" s="199"/>
      <c r="P160" s="200"/>
      <c r="Q160" s="200"/>
      <c r="R160" s="200"/>
      <c r="S160" s="199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24"/>
      <c r="AK160" s="210"/>
      <c r="AL160" s="210"/>
    </row>
    <row r="161" spans="1:38" s="197" customFormat="1">
      <c r="A161" s="200" t="s">
        <v>191</v>
      </c>
      <c r="B161" s="200"/>
      <c r="C161" s="531">
        <f>SUM(V158:W159)</f>
        <v>97.2</v>
      </c>
      <c r="D161" s="533"/>
      <c r="E161" s="200" t="s">
        <v>58</v>
      </c>
      <c r="F161" s="200"/>
      <c r="G161" s="200"/>
      <c r="H161" s="200"/>
      <c r="I161" s="200"/>
      <c r="J161" s="200"/>
      <c r="K161" s="200"/>
      <c r="L161" s="200"/>
      <c r="M161" s="200"/>
      <c r="N161" s="199"/>
      <c r="O161" s="199"/>
      <c r="P161" s="200"/>
      <c r="Q161" s="200"/>
      <c r="R161" s="200"/>
      <c r="S161" s="199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24"/>
      <c r="AK161" s="210"/>
      <c r="AL161" s="210"/>
    </row>
    <row r="162" spans="1:38" s="197" customFormat="1">
      <c r="A162" s="200"/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199"/>
      <c r="O162" s="199"/>
      <c r="P162" s="200"/>
      <c r="Q162" s="200"/>
      <c r="R162" s="200"/>
      <c r="S162" s="199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24"/>
      <c r="AK162" s="210"/>
      <c r="AL162" s="210"/>
    </row>
    <row r="163" spans="1:38" s="197" customFormat="1" ht="15">
      <c r="A163" s="534" t="s">
        <v>352</v>
      </c>
      <c r="B163" s="534"/>
      <c r="C163" s="534"/>
      <c r="D163" s="534"/>
      <c r="E163" s="534"/>
      <c r="F163" s="534"/>
      <c r="G163" s="534"/>
      <c r="H163" s="534"/>
      <c r="I163" s="534"/>
      <c r="J163" s="534"/>
      <c r="K163" s="534"/>
      <c r="L163" s="534"/>
      <c r="M163" s="534"/>
      <c r="N163" s="534"/>
      <c r="O163" s="534"/>
      <c r="P163" s="534"/>
      <c r="Q163" s="534"/>
      <c r="R163" s="534"/>
      <c r="S163" s="534"/>
      <c r="T163" s="534"/>
      <c r="U163" s="534"/>
      <c r="V163" s="534"/>
      <c r="W163" s="534"/>
      <c r="X163" s="534"/>
      <c r="Y163" s="534"/>
      <c r="Z163" s="534"/>
      <c r="AA163" s="534"/>
      <c r="AB163" s="534"/>
      <c r="AC163" s="534"/>
      <c r="AD163" s="534"/>
      <c r="AE163" s="534"/>
      <c r="AF163" s="534"/>
      <c r="AG163" s="534"/>
      <c r="AH163" s="534"/>
      <c r="AI163" s="534"/>
      <c r="AJ163" s="224"/>
      <c r="AK163" s="210"/>
      <c r="AL163" s="210"/>
    </row>
    <row r="164" spans="1:38" s="197" customFormat="1">
      <c r="A164" s="200"/>
      <c r="B164" s="200"/>
      <c r="C164" s="200"/>
      <c r="D164" s="200"/>
      <c r="E164" s="200"/>
      <c r="F164" s="200"/>
      <c r="G164" s="200"/>
      <c r="H164" s="200"/>
      <c r="I164" s="200"/>
      <c r="J164" s="200"/>
      <c r="K164" s="200"/>
      <c r="L164" s="200"/>
      <c r="M164" s="200"/>
      <c r="N164" s="199"/>
      <c r="O164" s="199"/>
      <c r="P164" s="200"/>
      <c r="Q164" s="200"/>
      <c r="R164" s="200"/>
      <c r="S164" s="199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24"/>
      <c r="AK164" s="210"/>
      <c r="AL164" s="210"/>
    </row>
    <row r="165" spans="1:38" s="197" customFormat="1">
      <c r="A165" s="200"/>
      <c r="B165" s="200"/>
      <c r="C165" s="200"/>
      <c r="D165" s="200"/>
      <c r="E165" s="200"/>
      <c r="F165" s="200"/>
      <c r="G165" s="528" t="s">
        <v>81</v>
      </c>
      <c r="H165" s="528"/>
      <c r="I165" s="200"/>
      <c r="J165" s="525" t="s">
        <v>339</v>
      </c>
      <c r="K165" s="525"/>
      <c r="L165" s="200"/>
      <c r="M165" s="200"/>
      <c r="N165" s="528" t="s">
        <v>340</v>
      </c>
      <c r="O165" s="528"/>
      <c r="P165" s="200"/>
      <c r="Q165" s="200"/>
      <c r="R165" s="528" t="s">
        <v>293</v>
      </c>
      <c r="S165" s="528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/>
      <c r="AD165" s="200"/>
      <c r="AE165" s="200"/>
      <c r="AF165" s="224"/>
      <c r="AG165" s="210"/>
      <c r="AH165" s="210"/>
    </row>
    <row r="166" spans="1:38" s="197" customFormat="1">
      <c r="A166" s="526" t="s">
        <v>350</v>
      </c>
      <c r="B166" s="526"/>
      <c r="C166" s="526"/>
      <c r="D166" s="526"/>
      <c r="E166" s="526"/>
      <c r="F166" s="526"/>
      <c r="G166" s="533">
        <f>G158</f>
        <v>42</v>
      </c>
      <c r="H166" s="533"/>
      <c r="I166" s="200" t="s">
        <v>196</v>
      </c>
      <c r="J166" s="532">
        <f>1.2+0.15</f>
        <v>1.35</v>
      </c>
      <c r="K166" s="532"/>
      <c r="L166" s="526" t="s">
        <v>196</v>
      </c>
      <c r="M166" s="526"/>
      <c r="N166" s="531">
        <f>R158*2</f>
        <v>2</v>
      </c>
      <c r="O166" s="531"/>
      <c r="P166" s="526" t="s">
        <v>197</v>
      </c>
      <c r="Q166" s="526"/>
      <c r="R166" s="527">
        <f>G166*J166*N166</f>
        <v>113.4</v>
      </c>
      <c r="S166" s="527"/>
      <c r="T166" s="225" t="s">
        <v>85</v>
      </c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0"/>
      <c r="AF166" s="224"/>
      <c r="AG166" s="210"/>
      <c r="AH166" s="210"/>
    </row>
    <row r="167" spans="1:38" s="197" customFormat="1">
      <c r="A167" s="200" t="s">
        <v>341</v>
      </c>
      <c r="B167" s="200"/>
      <c r="C167" s="200"/>
      <c r="D167" s="200"/>
      <c r="E167" s="200"/>
      <c r="F167" s="200"/>
      <c r="G167" s="531">
        <v>1.5</v>
      </c>
      <c r="H167" s="531"/>
      <c r="I167" s="200" t="s">
        <v>196</v>
      </c>
      <c r="J167" s="532">
        <v>1.5</v>
      </c>
      <c r="K167" s="532"/>
      <c r="L167" s="526" t="s">
        <v>196</v>
      </c>
      <c r="M167" s="526"/>
      <c r="N167" s="531">
        <f>R159*2</f>
        <v>8</v>
      </c>
      <c r="O167" s="531"/>
      <c r="P167" s="526" t="s">
        <v>197</v>
      </c>
      <c r="Q167" s="526"/>
      <c r="R167" s="527">
        <f t="shared" ref="R167" si="5">G167*J167*N167</f>
        <v>18</v>
      </c>
      <c r="S167" s="527"/>
      <c r="T167" s="225" t="s">
        <v>85</v>
      </c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24"/>
      <c r="AG167" s="210"/>
      <c r="AH167" s="210"/>
    </row>
    <row r="168" spans="1:38" s="197" customFormat="1">
      <c r="A168" s="200"/>
      <c r="B168" s="200"/>
      <c r="C168" s="200"/>
      <c r="D168" s="200"/>
      <c r="E168" s="200"/>
      <c r="F168" s="200"/>
      <c r="G168" s="200"/>
      <c r="H168" s="200"/>
      <c r="I168" s="200"/>
      <c r="J168" s="200"/>
      <c r="K168" s="200"/>
      <c r="L168" s="200"/>
      <c r="M168" s="200"/>
      <c r="N168" s="199"/>
      <c r="O168" s="199"/>
      <c r="P168" s="200"/>
      <c r="Q168" s="200"/>
      <c r="R168" s="200"/>
      <c r="S168" s="199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24"/>
      <c r="AK168" s="210"/>
      <c r="AL168" s="210"/>
    </row>
    <row r="169" spans="1:38" s="197" customFormat="1">
      <c r="A169" s="200" t="s">
        <v>191</v>
      </c>
      <c r="B169" s="200"/>
      <c r="C169" s="531">
        <f>SUM(R166:S167)</f>
        <v>131.4</v>
      </c>
      <c r="D169" s="533"/>
      <c r="E169" s="200" t="s">
        <v>85</v>
      </c>
      <c r="F169" s="200"/>
      <c r="G169" s="200"/>
      <c r="H169" s="200"/>
      <c r="I169" s="200"/>
      <c r="J169" s="200"/>
      <c r="K169" s="200"/>
      <c r="L169" s="200"/>
      <c r="M169" s="200"/>
      <c r="N169" s="199"/>
      <c r="O169" s="199"/>
      <c r="P169" s="200"/>
      <c r="Q169" s="200"/>
      <c r="R169" s="200"/>
      <c r="S169" s="199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24"/>
      <c r="AK169" s="210"/>
      <c r="AL169" s="210"/>
    </row>
    <row r="170" spans="1:38" s="197" customFormat="1">
      <c r="A170" s="200"/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199"/>
      <c r="O170" s="199"/>
      <c r="P170" s="200"/>
      <c r="Q170" s="200"/>
      <c r="R170" s="200"/>
      <c r="S170" s="199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24"/>
      <c r="AK170" s="210"/>
      <c r="AL170" s="210"/>
    </row>
    <row r="171" spans="1:38" s="197" customFormat="1" ht="15">
      <c r="A171" s="534" t="s">
        <v>354</v>
      </c>
      <c r="B171" s="534"/>
      <c r="C171" s="534"/>
      <c r="D171" s="534"/>
      <c r="E171" s="534"/>
      <c r="F171" s="534"/>
      <c r="G171" s="534"/>
      <c r="H171" s="534"/>
      <c r="I171" s="534"/>
      <c r="J171" s="534"/>
      <c r="K171" s="534"/>
      <c r="L171" s="534"/>
      <c r="M171" s="534"/>
      <c r="N171" s="534"/>
      <c r="O171" s="534"/>
      <c r="P171" s="534"/>
      <c r="Q171" s="534"/>
      <c r="R171" s="534"/>
      <c r="S171" s="534"/>
      <c r="T171" s="534"/>
      <c r="U171" s="534"/>
      <c r="V171" s="534"/>
      <c r="W171" s="534"/>
      <c r="X171" s="534"/>
      <c r="Y171" s="534"/>
      <c r="Z171" s="534"/>
      <c r="AA171" s="534"/>
      <c r="AB171" s="534"/>
      <c r="AC171" s="534"/>
      <c r="AD171" s="534"/>
      <c r="AE171" s="534"/>
      <c r="AF171" s="534"/>
      <c r="AG171" s="534"/>
      <c r="AH171" s="534"/>
      <c r="AI171" s="534"/>
      <c r="AJ171" s="224"/>
      <c r="AK171" s="210"/>
      <c r="AL171" s="210"/>
    </row>
    <row r="172" spans="1:38" s="197" customFormat="1">
      <c r="A172" s="200"/>
      <c r="B172" s="200"/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199"/>
      <c r="O172" s="199"/>
      <c r="P172" s="200"/>
      <c r="Q172" s="200"/>
      <c r="R172" s="200"/>
      <c r="S172" s="199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24"/>
      <c r="AK172" s="210"/>
      <c r="AL172" s="210"/>
    </row>
    <row r="173" spans="1:38" s="197" customFormat="1">
      <c r="A173" s="526" t="s">
        <v>417</v>
      </c>
      <c r="B173" s="526"/>
      <c r="C173" s="526"/>
      <c r="D173" s="526"/>
      <c r="E173" s="526"/>
      <c r="F173" s="526"/>
      <c r="G173" s="526"/>
      <c r="H173" s="526"/>
      <c r="I173" s="526"/>
      <c r="J173" s="526"/>
      <c r="K173" s="526"/>
      <c r="L173" s="526"/>
      <c r="M173" s="526"/>
      <c r="N173" s="526"/>
      <c r="O173" s="526"/>
      <c r="P173" s="526"/>
      <c r="Q173" s="526"/>
      <c r="R173" s="526"/>
      <c r="S173" s="526"/>
      <c r="T173" s="526"/>
      <c r="U173" s="526"/>
      <c r="V173" s="526"/>
      <c r="W173" s="526"/>
      <c r="X173" s="526"/>
      <c r="Y173" s="526"/>
      <c r="Z173" s="526"/>
      <c r="AA173" s="526"/>
      <c r="AB173" s="526"/>
      <c r="AC173" s="526"/>
      <c r="AD173" s="526"/>
      <c r="AE173" s="526"/>
      <c r="AF173" s="526"/>
      <c r="AG173" s="526"/>
      <c r="AH173" s="526"/>
      <c r="AI173" s="526"/>
      <c r="AJ173" s="224"/>
      <c r="AK173" s="210"/>
      <c r="AL173" s="210"/>
    </row>
    <row r="174" spans="1:38" s="197" customFormat="1">
      <c r="A174" s="200"/>
      <c r="B174" s="200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199"/>
      <c r="O174" s="199"/>
      <c r="P174" s="200"/>
      <c r="Q174" s="200"/>
      <c r="R174" s="200"/>
      <c r="S174" s="199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24"/>
      <c r="AK174" s="210"/>
      <c r="AL174" s="210"/>
    </row>
    <row r="175" spans="1:38" s="197" customFormat="1">
      <c r="A175" s="200"/>
      <c r="B175" s="200"/>
      <c r="C175" s="200"/>
      <c r="D175" s="200"/>
      <c r="E175" s="200"/>
      <c r="F175" s="200"/>
      <c r="G175" s="528" t="s">
        <v>81</v>
      </c>
      <c r="H175" s="528"/>
      <c r="I175" s="200"/>
      <c r="J175" s="528" t="s">
        <v>338</v>
      </c>
      <c r="K175" s="528"/>
      <c r="L175" s="200"/>
      <c r="M175" s="200"/>
      <c r="N175" s="525" t="s">
        <v>339</v>
      </c>
      <c r="O175" s="525"/>
      <c r="P175" s="200"/>
      <c r="Q175" s="200"/>
      <c r="R175" s="528" t="s">
        <v>340</v>
      </c>
      <c r="S175" s="528"/>
      <c r="T175" s="200"/>
      <c r="U175" s="200"/>
      <c r="V175" s="528" t="s">
        <v>293</v>
      </c>
      <c r="W175" s="528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24"/>
      <c r="AK175" s="210"/>
      <c r="AL175" s="210"/>
    </row>
    <row r="176" spans="1:38" s="197" customFormat="1">
      <c r="A176" s="526" t="s">
        <v>350</v>
      </c>
      <c r="B176" s="526"/>
      <c r="C176" s="526"/>
      <c r="D176" s="526"/>
      <c r="E176" s="526"/>
      <c r="F176" s="526"/>
      <c r="G176" s="533">
        <f>G166</f>
        <v>42</v>
      </c>
      <c r="H176" s="533"/>
      <c r="I176" s="200" t="s">
        <v>196</v>
      </c>
      <c r="J176" s="531">
        <v>1.5</v>
      </c>
      <c r="K176" s="531"/>
      <c r="L176" s="526" t="s">
        <v>196</v>
      </c>
      <c r="M176" s="526"/>
      <c r="N176" s="532">
        <v>0.15</v>
      </c>
      <c r="O176" s="532"/>
      <c r="P176" s="526" t="s">
        <v>196</v>
      </c>
      <c r="Q176" s="526"/>
      <c r="R176" s="531">
        <v>1</v>
      </c>
      <c r="S176" s="531"/>
      <c r="T176" s="526" t="s">
        <v>197</v>
      </c>
      <c r="U176" s="526"/>
      <c r="V176" s="527">
        <f>G176*J176*N176*R176</f>
        <v>9.4499999999999993</v>
      </c>
      <c r="W176" s="527"/>
      <c r="X176" s="225" t="s">
        <v>58</v>
      </c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24"/>
      <c r="AK176" s="210"/>
      <c r="AL176" s="210"/>
    </row>
    <row r="177" spans="1:41" s="197" customFormat="1">
      <c r="A177" s="215"/>
      <c r="B177" s="215"/>
      <c r="C177" s="215"/>
      <c r="D177" s="215"/>
      <c r="E177" s="215"/>
      <c r="F177" s="215"/>
      <c r="G177" s="205"/>
      <c r="H177" s="205"/>
      <c r="I177" s="200"/>
      <c r="J177" s="216"/>
      <c r="K177" s="216"/>
      <c r="L177" s="215"/>
      <c r="M177" s="215"/>
      <c r="N177" s="204"/>
      <c r="O177" s="204"/>
      <c r="P177" s="215"/>
      <c r="Q177" s="215"/>
      <c r="R177" s="216"/>
      <c r="S177" s="216"/>
      <c r="T177" s="215"/>
      <c r="U177" s="215"/>
      <c r="V177" s="219"/>
      <c r="W177" s="219"/>
      <c r="X177" s="225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24"/>
      <c r="AK177" s="210"/>
      <c r="AL177" s="210"/>
    </row>
    <row r="178" spans="1:41" s="197" customFormat="1">
      <c r="A178" s="200" t="s">
        <v>191</v>
      </c>
      <c r="B178" s="200"/>
      <c r="C178" s="531">
        <f>SUM(V176:W176)</f>
        <v>9.4499999999999993</v>
      </c>
      <c r="D178" s="533"/>
      <c r="E178" s="200" t="s">
        <v>58</v>
      </c>
      <c r="F178" s="200"/>
      <c r="G178" s="200"/>
      <c r="H178" s="200"/>
      <c r="I178" s="200"/>
      <c r="J178" s="200"/>
      <c r="K178" s="200"/>
      <c r="L178" s="200"/>
      <c r="M178" s="200"/>
      <c r="N178" s="199"/>
      <c r="O178" s="199"/>
      <c r="P178" s="200"/>
      <c r="Q178" s="200"/>
      <c r="R178" s="200"/>
      <c r="S178" s="199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24"/>
      <c r="AK178" s="210"/>
      <c r="AL178" s="210"/>
    </row>
    <row r="179" spans="1:41" s="197" customFormat="1">
      <c r="A179" s="200"/>
      <c r="B179" s="200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199"/>
      <c r="O179" s="199"/>
      <c r="P179" s="200"/>
      <c r="Q179" s="200"/>
      <c r="R179" s="200"/>
      <c r="S179" s="199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24"/>
      <c r="AK179" s="210"/>
      <c r="AL179" s="210"/>
    </row>
    <row r="180" spans="1:41" s="197" customFormat="1" ht="29.25" customHeight="1">
      <c r="A180" s="529" t="s">
        <v>414</v>
      </c>
      <c r="B180" s="529"/>
      <c r="C180" s="529"/>
      <c r="D180" s="529"/>
      <c r="E180" s="529"/>
      <c r="F180" s="529"/>
      <c r="G180" s="529"/>
      <c r="H180" s="529"/>
      <c r="I180" s="529"/>
      <c r="J180" s="529"/>
      <c r="K180" s="529"/>
      <c r="L180" s="529"/>
      <c r="M180" s="529"/>
      <c r="N180" s="529"/>
      <c r="O180" s="529"/>
      <c r="P180" s="529"/>
      <c r="Q180" s="529"/>
      <c r="R180" s="529"/>
      <c r="S180" s="529"/>
      <c r="T180" s="529"/>
      <c r="U180" s="529"/>
      <c r="V180" s="529"/>
      <c r="W180" s="529"/>
      <c r="X180" s="529"/>
      <c r="Y180" s="529"/>
      <c r="Z180" s="529"/>
      <c r="AA180" s="529"/>
      <c r="AB180" s="529"/>
      <c r="AC180" s="529"/>
      <c r="AD180" s="529"/>
      <c r="AE180" s="529"/>
      <c r="AF180" s="529"/>
      <c r="AG180" s="529"/>
      <c r="AH180" s="529"/>
      <c r="AI180" s="529"/>
      <c r="AJ180" s="224"/>
      <c r="AK180" s="210"/>
      <c r="AL180" s="210"/>
    </row>
    <row r="181" spans="1:41" s="197" customFormat="1">
      <c r="A181" s="200"/>
      <c r="B181" s="200"/>
      <c r="C181" s="200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199"/>
      <c r="O181" s="199"/>
      <c r="P181" s="200"/>
      <c r="Q181" s="200"/>
      <c r="R181" s="200"/>
      <c r="S181" s="199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24"/>
      <c r="AK181" s="210"/>
      <c r="AL181" s="210"/>
    </row>
    <row r="182" spans="1:41" s="197" customFormat="1">
      <c r="A182" s="530" t="s">
        <v>330</v>
      </c>
      <c r="B182" s="530"/>
      <c r="C182" s="530"/>
      <c r="D182" s="530"/>
      <c r="E182" s="530"/>
      <c r="F182" s="530"/>
      <c r="G182" s="530"/>
      <c r="H182" s="530"/>
      <c r="I182" s="530"/>
      <c r="J182" s="530"/>
      <c r="K182" s="530"/>
      <c r="L182" s="530"/>
      <c r="M182" s="530"/>
      <c r="N182" s="530"/>
      <c r="O182" s="530"/>
      <c r="P182" s="530"/>
      <c r="Q182" s="530"/>
      <c r="R182" s="530"/>
      <c r="S182" s="530"/>
      <c r="T182" s="530"/>
      <c r="U182" s="530"/>
      <c r="V182" s="530"/>
      <c r="W182" s="530"/>
      <c r="X182" s="530"/>
      <c r="Y182" s="530"/>
      <c r="Z182" s="530"/>
      <c r="AA182" s="530"/>
      <c r="AB182" s="530"/>
      <c r="AC182" s="530"/>
      <c r="AD182" s="530"/>
      <c r="AE182" s="530"/>
      <c r="AF182" s="530"/>
      <c r="AG182" s="530"/>
      <c r="AH182" s="530"/>
      <c r="AI182" s="530"/>
      <c r="AJ182" s="224"/>
      <c r="AK182" s="210"/>
      <c r="AL182" s="210"/>
    </row>
    <row r="183" spans="1:41" s="197" customFormat="1">
      <c r="A183" s="200"/>
      <c r="B183" s="200"/>
      <c r="C183" s="200"/>
      <c r="D183" s="200"/>
      <c r="E183" s="200"/>
      <c r="F183" s="200"/>
      <c r="G183" s="200"/>
      <c r="H183" s="200"/>
      <c r="I183" s="200"/>
      <c r="J183" s="200"/>
      <c r="K183" s="200"/>
      <c r="L183" s="200"/>
      <c r="M183" s="200"/>
      <c r="N183" s="199"/>
      <c r="O183" s="199"/>
      <c r="P183" s="200"/>
      <c r="Q183" s="200"/>
      <c r="R183" s="200"/>
      <c r="S183" s="199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26"/>
      <c r="AK183" s="210"/>
      <c r="AL183" s="210"/>
    </row>
    <row r="184" spans="1:41" s="197" customFormat="1">
      <c r="A184" s="526" t="s">
        <v>350</v>
      </c>
      <c r="B184" s="526"/>
      <c r="C184" s="526"/>
      <c r="D184" s="526"/>
      <c r="E184" s="526"/>
      <c r="F184" s="526"/>
      <c r="G184" s="531">
        <f>G176</f>
        <v>42</v>
      </c>
      <c r="H184" s="531"/>
      <c r="I184" s="200" t="s">
        <v>148</v>
      </c>
      <c r="J184" s="225"/>
      <c r="K184" s="225"/>
      <c r="L184" s="200"/>
      <c r="M184" s="200"/>
      <c r="N184" s="200"/>
      <c r="O184" s="200"/>
      <c r="P184" s="200"/>
      <c r="Q184" s="200"/>
      <c r="R184" s="200"/>
      <c r="S184" s="200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24"/>
      <c r="AK184" s="210"/>
      <c r="AL184" s="210"/>
    </row>
    <row r="185" spans="1:41" s="197" customFormat="1">
      <c r="A185" s="215"/>
      <c r="B185" s="215"/>
      <c r="C185" s="215"/>
      <c r="D185" s="215"/>
      <c r="E185" s="215"/>
      <c r="F185" s="215"/>
      <c r="G185" s="205"/>
      <c r="H185" s="205"/>
      <c r="I185" s="200"/>
      <c r="J185" s="216"/>
      <c r="K185" s="216"/>
      <c r="L185" s="214"/>
      <c r="M185" s="214"/>
      <c r="N185" s="200"/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24"/>
      <c r="AK185" s="210"/>
      <c r="AL185" s="210"/>
    </row>
    <row r="186" spans="1:41" s="197" customFormat="1">
      <c r="A186" s="526" t="s">
        <v>191</v>
      </c>
      <c r="B186" s="526"/>
      <c r="C186" s="531">
        <f>SUM(G184:H184)</f>
        <v>42</v>
      </c>
      <c r="D186" s="531"/>
      <c r="E186" s="215" t="s">
        <v>148</v>
      </c>
      <c r="F186" s="215"/>
      <c r="G186" s="205"/>
      <c r="H186" s="205"/>
      <c r="I186" s="200"/>
      <c r="J186" s="216"/>
      <c r="K186" s="216"/>
      <c r="L186" s="214"/>
      <c r="M186" s="214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24"/>
      <c r="AK186" s="210"/>
      <c r="AL186" s="210"/>
    </row>
    <row r="187" spans="1:41" s="197" customFormat="1">
      <c r="A187" s="215"/>
      <c r="B187" s="215"/>
      <c r="C187" s="215"/>
      <c r="D187" s="215"/>
      <c r="E187" s="215"/>
      <c r="F187" s="215"/>
      <c r="G187" s="205"/>
      <c r="H187" s="205"/>
      <c r="I187" s="200"/>
      <c r="J187" s="216"/>
      <c r="K187" s="216"/>
      <c r="L187" s="214"/>
      <c r="M187" s="214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24"/>
      <c r="AK187" s="210"/>
      <c r="AL187" s="210"/>
    </row>
    <row r="188" spans="1:41" s="197" customFormat="1" ht="15">
      <c r="A188" s="534" t="s">
        <v>438</v>
      </c>
      <c r="B188" s="534"/>
      <c r="C188" s="534"/>
      <c r="D188" s="534"/>
      <c r="E188" s="534"/>
      <c r="F188" s="534"/>
      <c r="G188" s="534"/>
      <c r="H188" s="534"/>
      <c r="I188" s="534"/>
      <c r="J188" s="534"/>
      <c r="K188" s="534"/>
      <c r="L188" s="534"/>
      <c r="M188" s="534"/>
      <c r="N188" s="534"/>
      <c r="O188" s="534"/>
      <c r="P188" s="534"/>
      <c r="Q188" s="534"/>
      <c r="R188" s="534"/>
      <c r="S188" s="534"/>
      <c r="T188" s="534"/>
      <c r="U188" s="534"/>
      <c r="V188" s="534"/>
      <c r="W188" s="534"/>
      <c r="X188" s="534"/>
      <c r="Y188" s="534"/>
      <c r="Z188" s="534"/>
      <c r="AA188" s="534"/>
      <c r="AB188" s="534"/>
      <c r="AC188" s="534"/>
      <c r="AD188" s="534"/>
      <c r="AE188" s="534"/>
      <c r="AF188" s="534"/>
      <c r="AG188" s="534"/>
      <c r="AH188" s="534"/>
      <c r="AI188" s="534"/>
      <c r="AJ188" s="224"/>
      <c r="AK188" s="210"/>
      <c r="AL188" s="210"/>
    </row>
    <row r="189" spans="1:41" s="197" customFormat="1" ht="15" customHeight="1">
      <c r="A189" s="200"/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199"/>
      <c r="O189" s="199"/>
      <c r="P189" s="200"/>
      <c r="Q189" s="200"/>
      <c r="R189" s="200"/>
      <c r="S189" s="199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24"/>
      <c r="AK189" s="210"/>
      <c r="AL189" s="210"/>
    </row>
    <row r="190" spans="1:41" s="197" customFormat="1">
      <c r="A190" s="535" t="s">
        <v>342</v>
      </c>
      <c r="B190" s="535"/>
      <c r="C190" s="535"/>
      <c r="D190" s="535"/>
      <c r="E190" s="535"/>
      <c r="F190" s="535"/>
      <c r="G190" s="535"/>
      <c r="H190" s="535"/>
      <c r="I190" s="535"/>
      <c r="J190" s="535"/>
      <c r="K190" s="535"/>
      <c r="L190" s="535"/>
      <c r="M190" s="535"/>
      <c r="N190" s="535"/>
      <c r="O190" s="535"/>
      <c r="P190" s="535"/>
      <c r="Q190" s="535"/>
      <c r="R190" s="535"/>
      <c r="S190" s="535"/>
      <c r="T190" s="535"/>
      <c r="U190" s="535"/>
      <c r="V190" s="535"/>
      <c r="W190" s="535"/>
      <c r="X190" s="535"/>
      <c r="Y190" s="535"/>
      <c r="Z190" s="535"/>
      <c r="AA190" s="535"/>
      <c r="AB190" s="535"/>
      <c r="AC190" s="535"/>
      <c r="AD190" s="535"/>
      <c r="AE190" s="535"/>
      <c r="AF190" s="535"/>
      <c r="AG190" s="535"/>
      <c r="AH190" s="535"/>
      <c r="AI190" s="535"/>
      <c r="AJ190" s="224"/>
      <c r="AK190" s="210"/>
      <c r="AL190" s="210"/>
      <c r="AM190" s="227"/>
      <c r="AN190" s="228"/>
      <c r="AO190" s="228"/>
    </row>
    <row r="191" spans="1:41" s="197" customFormat="1">
      <c r="A191" s="200"/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199"/>
      <c r="O191" s="199"/>
      <c r="P191" s="200"/>
      <c r="Q191" s="200"/>
      <c r="R191" s="200"/>
      <c r="S191" s="199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24"/>
      <c r="AK191" s="210"/>
      <c r="AL191" s="210"/>
    </row>
    <row r="192" spans="1:41" s="197" customFormat="1">
      <c r="A192" s="526" t="s">
        <v>343</v>
      </c>
      <c r="B192" s="526"/>
      <c r="C192" s="526"/>
      <c r="D192" s="526"/>
      <c r="E192" s="526"/>
      <c r="F192" s="526"/>
      <c r="G192" s="536">
        <f>C161</f>
        <v>97.2</v>
      </c>
      <c r="H192" s="537"/>
      <c r="I192" s="200" t="s">
        <v>58</v>
      </c>
      <c r="J192" s="200"/>
      <c r="K192" s="200"/>
      <c r="L192" s="200"/>
      <c r="M192" s="200"/>
      <c r="N192" s="199"/>
      <c r="O192" s="199"/>
      <c r="P192" s="200"/>
      <c r="Q192" s="200"/>
      <c r="R192" s="200"/>
      <c r="S192" s="199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24"/>
      <c r="AK192" s="210"/>
      <c r="AL192" s="210"/>
    </row>
    <row r="193" spans="1:38" s="197" customFormat="1">
      <c r="A193" s="200"/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199"/>
      <c r="O193" s="199"/>
      <c r="P193" s="200"/>
      <c r="Q193" s="200"/>
      <c r="R193" s="200"/>
      <c r="S193" s="199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24"/>
      <c r="AK193" s="210"/>
      <c r="AL193" s="210"/>
    </row>
    <row r="194" spans="1:38" s="197" customFormat="1">
      <c r="A194" s="200" t="s">
        <v>199</v>
      </c>
      <c r="B194" s="200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199"/>
      <c r="O194" s="199"/>
      <c r="P194" s="200"/>
      <c r="Q194" s="200"/>
      <c r="R194" s="200"/>
      <c r="S194" s="199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24"/>
      <c r="AK194" s="210"/>
      <c r="AL194" s="210"/>
    </row>
    <row r="195" spans="1:38" s="197" customFormat="1">
      <c r="A195" s="200"/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199"/>
      <c r="O195" s="199"/>
      <c r="P195" s="200"/>
      <c r="Q195" s="200"/>
      <c r="R195" s="200"/>
      <c r="S195" s="199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24"/>
      <c r="AK195" s="210"/>
      <c r="AL195" s="210"/>
    </row>
    <row r="196" spans="1:38" s="197" customFormat="1">
      <c r="A196" s="526" t="s">
        <v>344</v>
      </c>
      <c r="B196" s="526"/>
      <c r="C196" s="526"/>
      <c r="D196" s="526"/>
      <c r="E196" s="526"/>
      <c r="F196" s="526"/>
      <c r="G196" s="531">
        <f>C178</f>
        <v>9.4499999999999993</v>
      </c>
      <c r="H196" s="533"/>
      <c r="I196" s="200" t="s">
        <v>58</v>
      </c>
      <c r="J196" s="200"/>
      <c r="K196" s="200"/>
      <c r="L196" s="200"/>
      <c r="M196" s="200"/>
      <c r="N196" s="199"/>
      <c r="O196" s="199"/>
      <c r="P196" s="200"/>
      <c r="Q196" s="200"/>
      <c r="R196" s="200"/>
      <c r="S196" s="199"/>
      <c r="T196" s="200"/>
      <c r="U196" s="200"/>
      <c r="V196" s="200"/>
      <c r="W196" s="200"/>
      <c r="X196" s="200"/>
      <c r="Y196" s="200"/>
      <c r="Z196" s="200"/>
      <c r="AA196" s="200"/>
      <c r="AB196" s="200"/>
      <c r="AC196" s="200"/>
      <c r="AD196" s="200"/>
      <c r="AE196" s="200"/>
      <c r="AF196" s="200"/>
      <c r="AG196" s="200"/>
      <c r="AH196" s="200"/>
      <c r="AI196" s="200"/>
      <c r="AJ196" s="224"/>
      <c r="AK196" s="210"/>
      <c r="AL196" s="210"/>
    </row>
    <row r="197" spans="1:38" s="197" customFormat="1">
      <c r="A197" s="200"/>
      <c r="B197" s="200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199"/>
      <c r="O197" s="199"/>
      <c r="P197" s="200"/>
      <c r="Q197" s="200"/>
      <c r="R197" s="200"/>
      <c r="S197" s="199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528"/>
      <c r="AF197" s="528"/>
      <c r="AG197" s="200"/>
      <c r="AH197" s="200"/>
      <c r="AI197" s="200"/>
      <c r="AJ197" s="224"/>
      <c r="AK197" s="210"/>
      <c r="AL197" s="210"/>
    </row>
    <row r="198" spans="1:38" s="197" customFormat="1">
      <c r="A198" s="526" t="s">
        <v>345</v>
      </c>
      <c r="B198" s="526"/>
      <c r="C198" s="526"/>
      <c r="D198" s="526"/>
      <c r="E198" s="526"/>
      <c r="F198" s="526"/>
      <c r="G198" s="528" t="s">
        <v>81</v>
      </c>
      <c r="H198" s="528"/>
      <c r="I198" s="200"/>
      <c r="J198" s="528" t="s">
        <v>346</v>
      </c>
      <c r="K198" s="528"/>
      <c r="L198" s="200"/>
      <c r="M198" s="200"/>
      <c r="N198" s="199" t="s">
        <v>293</v>
      </c>
      <c r="O198" s="199"/>
      <c r="P198" s="200"/>
      <c r="Q198" s="200"/>
      <c r="R198" s="200"/>
      <c r="S198" s="199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00"/>
      <c r="AE198" s="200"/>
      <c r="AF198" s="200"/>
      <c r="AG198" s="200"/>
      <c r="AH198" s="200"/>
      <c r="AI198" s="200"/>
      <c r="AJ198" s="224"/>
      <c r="AK198" s="210"/>
      <c r="AL198" s="210"/>
    </row>
    <row r="199" spans="1:38" s="197" customFormat="1">
      <c r="A199" s="526" t="s">
        <v>350</v>
      </c>
      <c r="B199" s="526"/>
      <c r="C199" s="526"/>
      <c r="D199" s="526"/>
      <c r="E199" s="526"/>
      <c r="F199" s="526"/>
      <c r="G199" s="533">
        <f>G176</f>
        <v>42</v>
      </c>
      <c r="H199" s="533"/>
      <c r="I199" s="200" t="s">
        <v>196</v>
      </c>
      <c r="J199" s="531">
        <v>0.17</v>
      </c>
      <c r="K199" s="531"/>
      <c r="L199" s="526" t="s">
        <v>206</v>
      </c>
      <c r="M199" s="526"/>
      <c r="N199" s="525">
        <f>G199*J199</f>
        <v>7.14</v>
      </c>
      <c r="O199" s="525"/>
      <c r="P199" s="199" t="s">
        <v>58</v>
      </c>
      <c r="Q199" s="200"/>
      <c r="R199" s="200"/>
      <c r="S199" s="199"/>
      <c r="T199" s="200"/>
      <c r="U199" s="200"/>
      <c r="V199" s="200"/>
      <c r="W199" s="200"/>
      <c r="X199" s="200"/>
      <c r="Y199" s="200"/>
      <c r="Z199" s="200"/>
      <c r="AA199" s="528"/>
      <c r="AB199" s="528"/>
      <c r="AC199" s="200"/>
      <c r="AD199" s="200"/>
      <c r="AE199" s="200"/>
      <c r="AF199" s="200"/>
      <c r="AG199" s="200"/>
      <c r="AH199" s="200"/>
      <c r="AI199" s="200"/>
      <c r="AJ199" s="224"/>
      <c r="AK199" s="210"/>
      <c r="AL199" s="210"/>
    </row>
    <row r="200" spans="1:38" s="197" customFormat="1">
      <c r="A200" s="200"/>
      <c r="B200" s="200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199"/>
      <c r="O200" s="199"/>
      <c r="P200" s="200"/>
      <c r="Q200" s="200"/>
      <c r="R200" s="200"/>
      <c r="S200" s="199"/>
      <c r="T200" s="200"/>
      <c r="U200" s="200"/>
      <c r="V200" s="200"/>
      <c r="W200" s="200"/>
      <c r="X200" s="200"/>
      <c r="Y200" s="200"/>
      <c r="Z200" s="200"/>
      <c r="AA200" s="200"/>
      <c r="AB200" s="200"/>
      <c r="AC200" s="200"/>
      <c r="AD200" s="200"/>
      <c r="AE200" s="200"/>
      <c r="AF200" s="200"/>
      <c r="AG200" s="200"/>
      <c r="AH200" s="200"/>
      <c r="AI200" s="200"/>
      <c r="AJ200" s="224"/>
      <c r="AK200" s="210"/>
      <c r="AL200" s="210"/>
    </row>
    <row r="201" spans="1:38" s="197" customFormat="1">
      <c r="A201" s="526" t="s">
        <v>347</v>
      </c>
      <c r="B201" s="526"/>
      <c r="C201" s="526"/>
      <c r="D201" s="526"/>
      <c r="E201" s="526"/>
      <c r="F201" s="526"/>
      <c r="G201" s="528" t="s">
        <v>81</v>
      </c>
      <c r="H201" s="528"/>
      <c r="I201" s="200"/>
      <c r="J201" s="528" t="s">
        <v>338</v>
      </c>
      <c r="K201" s="528"/>
      <c r="L201" s="200"/>
      <c r="N201" s="528" t="s">
        <v>348</v>
      </c>
      <c r="O201" s="528"/>
      <c r="P201" s="199"/>
      <c r="Q201" s="200"/>
      <c r="R201" s="528" t="s">
        <v>340</v>
      </c>
      <c r="S201" s="528"/>
      <c r="T201" s="199"/>
      <c r="U201" s="200"/>
      <c r="V201" s="200" t="s">
        <v>293</v>
      </c>
      <c r="W201" s="200"/>
      <c r="X201" s="200"/>
      <c r="Y201" s="200"/>
      <c r="Z201" s="200"/>
      <c r="AA201" s="200"/>
      <c r="AB201" s="200"/>
      <c r="AC201" s="200"/>
      <c r="AD201" s="200"/>
      <c r="AE201" s="200"/>
      <c r="AF201" s="200"/>
      <c r="AG201" s="200"/>
      <c r="AH201" s="200"/>
      <c r="AI201" s="200"/>
      <c r="AJ201" s="224"/>
      <c r="AK201" s="210"/>
      <c r="AL201" s="210"/>
    </row>
    <row r="202" spans="1:38" s="197" customFormat="1">
      <c r="A202" s="526" t="s">
        <v>341</v>
      </c>
      <c r="B202" s="526"/>
      <c r="C202" s="526"/>
      <c r="D202" s="526"/>
      <c r="E202" s="526"/>
      <c r="F202" s="526"/>
      <c r="G202" s="531">
        <v>1.5</v>
      </c>
      <c r="H202" s="531"/>
      <c r="I202" s="200" t="s">
        <v>196</v>
      </c>
      <c r="J202" s="531">
        <v>1.5</v>
      </c>
      <c r="K202" s="531"/>
      <c r="L202" s="526" t="s">
        <v>196</v>
      </c>
      <c r="M202" s="526"/>
      <c r="N202" s="532">
        <v>1.23</v>
      </c>
      <c r="O202" s="532"/>
      <c r="P202" s="528" t="s">
        <v>196</v>
      </c>
      <c r="Q202" s="528"/>
      <c r="R202" s="531">
        <f>B212</f>
        <v>4</v>
      </c>
      <c r="S202" s="531"/>
      <c r="T202" s="526" t="s">
        <v>197</v>
      </c>
      <c r="U202" s="526"/>
      <c r="V202" s="527">
        <f>G202*J202*N202*R202</f>
        <v>11.07</v>
      </c>
      <c r="W202" s="527"/>
      <c r="X202" s="200" t="s">
        <v>58</v>
      </c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24"/>
      <c r="AK202" s="210"/>
      <c r="AL202" s="210"/>
    </row>
    <row r="203" spans="1:38" s="197" customFormat="1">
      <c r="A203" s="215"/>
      <c r="B203" s="215"/>
      <c r="C203" s="215"/>
      <c r="D203" s="215"/>
      <c r="E203" s="215"/>
      <c r="F203" s="215"/>
      <c r="G203" s="216"/>
      <c r="H203" s="216"/>
      <c r="I203" s="200"/>
      <c r="J203" s="216"/>
      <c r="K203" s="216"/>
      <c r="L203" s="215"/>
      <c r="M203" s="215"/>
      <c r="N203" s="204"/>
      <c r="O203" s="204"/>
      <c r="P203" s="214"/>
      <c r="Q203" s="214"/>
      <c r="R203" s="216"/>
      <c r="S203" s="216"/>
      <c r="T203" s="215"/>
      <c r="U203" s="215"/>
      <c r="V203" s="219"/>
      <c r="W203" s="219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24"/>
      <c r="AK203" s="210"/>
      <c r="AL203" s="210"/>
    </row>
    <row r="204" spans="1:38" s="197" customFormat="1">
      <c r="A204" s="215" t="s">
        <v>349</v>
      </c>
      <c r="B204" s="215"/>
      <c r="C204" s="215"/>
      <c r="D204" s="525">
        <f>N199+V202+G196</f>
        <v>27.66</v>
      </c>
      <c r="E204" s="528"/>
      <c r="F204" s="215" t="s">
        <v>58</v>
      </c>
      <c r="G204" s="216"/>
      <c r="H204" s="216"/>
      <c r="I204" s="200"/>
      <c r="J204" s="216"/>
      <c r="K204" s="216"/>
      <c r="L204" s="215"/>
      <c r="M204" s="215"/>
      <c r="N204" s="204"/>
      <c r="O204" s="204"/>
      <c r="P204" s="214"/>
      <c r="Q204" s="214"/>
      <c r="R204" s="216"/>
      <c r="S204" s="216"/>
      <c r="T204" s="215"/>
      <c r="U204" s="215"/>
      <c r="V204" s="219"/>
      <c r="W204" s="219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24"/>
      <c r="AK204" s="210"/>
      <c r="AL204" s="210"/>
    </row>
    <row r="205" spans="1:38" s="197" customFormat="1">
      <c r="A205" s="215"/>
      <c r="B205" s="215"/>
      <c r="C205" s="215"/>
      <c r="D205" s="215"/>
      <c r="E205" s="215"/>
      <c r="F205" s="215"/>
      <c r="G205" s="216"/>
      <c r="H205" s="216"/>
      <c r="I205" s="200"/>
      <c r="J205" s="216"/>
      <c r="K205" s="216"/>
      <c r="L205" s="215"/>
      <c r="M205" s="215"/>
      <c r="N205" s="204"/>
      <c r="O205" s="204"/>
      <c r="P205" s="214"/>
      <c r="Q205" s="214"/>
      <c r="R205" s="216"/>
      <c r="S205" s="216"/>
      <c r="T205" s="215"/>
      <c r="U205" s="215"/>
      <c r="V205" s="219"/>
      <c r="W205" s="219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24"/>
      <c r="AK205" s="210"/>
      <c r="AL205" s="210"/>
    </row>
    <row r="206" spans="1:38" s="197" customFormat="1" ht="16.5">
      <c r="A206" s="200" t="s">
        <v>179</v>
      </c>
      <c r="B206" s="527">
        <f>G192-D204</f>
        <v>69.540000000000006</v>
      </c>
      <c r="C206" s="527"/>
      <c r="D206" s="527"/>
      <c r="E206" s="200" t="s">
        <v>359</v>
      </c>
      <c r="F206" s="200"/>
      <c r="G206" s="200"/>
      <c r="H206" s="200"/>
      <c r="I206" s="200"/>
      <c r="J206" s="200"/>
      <c r="K206" s="200"/>
      <c r="L206" s="200"/>
      <c r="M206" s="200"/>
      <c r="N206" s="199"/>
      <c r="O206" s="199"/>
      <c r="P206" s="200"/>
      <c r="Q206" s="200"/>
      <c r="R206" s="200"/>
      <c r="S206" s="199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24"/>
      <c r="AK206" s="210"/>
      <c r="AL206" s="210"/>
    </row>
    <row r="207" spans="1:38" s="197" customFormat="1">
      <c r="A207" s="200"/>
      <c r="B207" s="200"/>
      <c r="C207" s="200"/>
      <c r="D207" s="200"/>
      <c r="E207" s="200"/>
      <c r="F207" s="200"/>
      <c r="G207" s="200"/>
      <c r="H207" s="200"/>
      <c r="I207" s="200"/>
      <c r="J207" s="200"/>
      <c r="K207" s="200"/>
      <c r="L207" s="200"/>
      <c r="M207" s="200"/>
      <c r="N207" s="199"/>
      <c r="O207" s="199"/>
      <c r="P207" s="200"/>
      <c r="Q207" s="200"/>
      <c r="R207" s="200"/>
      <c r="S207" s="199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/>
      <c r="AF207" s="200"/>
      <c r="AG207" s="200"/>
      <c r="AH207" s="200"/>
      <c r="AI207" s="200"/>
      <c r="AJ207" s="224"/>
      <c r="AK207" s="210"/>
      <c r="AL207" s="210"/>
    </row>
    <row r="208" spans="1:38" s="197" customFormat="1" ht="15" customHeight="1">
      <c r="A208" s="529" t="s">
        <v>439</v>
      </c>
      <c r="B208" s="529"/>
      <c r="C208" s="529"/>
      <c r="D208" s="529"/>
      <c r="E208" s="529"/>
      <c r="F208" s="529"/>
      <c r="G208" s="529"/>
      <c r="H208" s="529"/>
      <c r="I208" s="529"/>
      <c r="J208" s="529"/>
      <c r="K208" s="529"/>
      <c r="L208" s="529"/>
      <c r="M208" s="529"/>
      <c r="N208" s="529"/>
      <c r="O208" s="529"/>
      <c r="P208" s="529"/>
      <c r="Q208" s="529"/>
      <c r="R208" s="529"/>
      <c r="S208" s="529"/>
      <c r="T208" s="529"/>
      <c r="U208" s="529"/>
      <c r="V208" s="529"/>
      <c r="W208" s="529"/>
      <c r="X208" s="529"/>
      <c r="Y208" s="529"/>
      <c r="Z208" s="529"/>
      <c r="AA208" s="529"/>
      <c r="AB208" s="529"/>
      <c r="AC208" s="529"/>
      <c r="AD208" s="529"/>
      <c r="AE208" s="529"/>
      <c r="AF208" s="529"/>
      <c r="AG208" s="529"/>
      <c r="AH208" s="529"/>
      <c r="AI208" s="529"/>
      <c r="AJ208" s="224"/>
      <c r="AK208" s="210"/>
      <c r="AL208" s="210"/>
    </row>
    <row r="209" spans="1:38" s="197" customFormat="1">
      <c r="A209" s="200"/>
      <c r="B209" s="200"/>
      <c r="C209" s="200"/>
      <c r="D209" s="200"/>
      <c r="E209" s="200"/>
      <c r="F209" s="200"/>
      <c r="G209" s="200"/>
      <c r="H209" s="200"/>
      <c r="I209" s="200"/>
      <c r="J209" s="200"/>
      <c r="K209" s="200"/>
      <c r="L209" s="200"/>
      <c r="M209" s="200"/>
      <c r="N209" s="199"/>
      <c r="O209" s="199"/>
      <c r="P209" s="200"/>
      <c r="Q209" s="200"/>
      <c r="R209" s="200"/>
      <c r="S209" s="199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24"/>
      <c r="AK209" s="210"/>
      <c r="AL209" s="210"/>
    </row>
    <row r="210" spans="1:38" s="197" customFormat="1">
      <c r="A210" s="530" t="s">
        <v>333</v>
      </c>
      <c r="B210" s="530"/>
      <c r="C210" s="530"/>
      <c r="D210" s="530"/>
      <c r="E210" s="530"/>
      <c r="F210" s="530"/>
      <c r="G210" s="530"/>
      <c r="H210" s="530"/>
      <c r="I210" s="530"/>
      <c r="J210" s="530"/>
      <c r="K210" s="530"/>
      <c r="L210" s="530"/>
      <c r="M210" s="530"/>
      <c r="N210" s="530"/>
      <c r="O210" s="530"/>
      <c r="P210" s="530"/>
      <c r="Q210" s="530"/>
      <c r="R210" s="530"/>
      <c r="S210" s="530"/>
      <c r="T210" s="530"/>
      <c r="U210" s="530"/>
      <c r="V210" s="530"/>
      <c r="W210" s="530"/>
      <c r="X210" s="530"/>
      <c r="Y210" s="530"/>
      <c r="Z210" s="530"/>
      <c r="AA210" s="530"/>
      <c r="AB210" s="530"/>
      <c r="AC210" s="530"/>
      <c r="AD210" s="530"/>
      <c r="AE210" s="530"/>
      <c r="AF210" s="530"/>
      <c r="AG210" s="530"/>
      <c r="AH210" s="530"/>
      <c r="AI210" s="530"/>
      <c r="AJ210" s="224"/>
      <c r="AK210" s="210"/>
      <c r="AL210" s="210"/>
    </row>
    <row r="211" spans="1:38" s="197" customFormat="1">
      <c r="A211" s="200"/>
      <c r="B211" s="200"/>
      <c r="C211" s="200"/>
      <c r="D211" s="200"/>
      <c r="E211" s="200"/>
      <c r="F211" s="200"/>
      <c r="G211" s="200"/>
      <c r="H211" s="200"/>
      <c r="I211" s="200"/>
      <c r="J211" s="200"/>
      <c r="K211" s="200"/>
      <c r="L211" s="200"/>
      <c r="M211" s="200"/>
      <c r="N211" s="199"/>
      <c r="O211" s="199"/>
      <c r="P211" s="200"/>
      <c r="Q211" s="200"/>
      <c r="R211" s="200"/>
      <c r="S211" s="199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26"/>
      <c r="AK211" s="210"/>
      <c r="AL211" s="210"/>
    </row>
    <row r="212" spans="1:38" s="197" customFormat="1">
      <c r="A212" s="200" t="s">
        <v>179</v>
      </c>
      <c r="B212" s="525">
        <v>4</v>
      </c>
      <c r="C212" s="525"/>
      <c r="D212" s="200" t="s">
        <v>332</v>
      </c>
      <c r="E212" s="200"/>
      <c r="F212" s="200"/>
      <c r="G212" s="200"/>
      <c r="H212" s="200"/>
      <c r="I212" s="200"/>
      <c r="J212" s="200"/>
      <c r="K212" s="200"/>
      <c r="L212" s="200"/>
      <c r="M212" s="200"/>
      <c r="N212" s="199"/>
      <c r="O212" s="199"/>
      <c r="P212" s="200"/>
      <c r="Q212" s="200"/>
      <c r="R212" s="200"/>
      <c r="S212" s="199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24"/>
      <c r="AK212" s="210"/>
      <c r="AL212" s="210"/>
    </row>
    <row r="213" spans="1:38" s="197" customFormat="1">
      <c r="A213" s="200"/>
      <c r="B213" s="200"/>
      <c r="C213" s="200"/>
      <c r="D213" s="200"/>
      <c r="E213" s="200"/>
      <c r="F213" s="200"/>
      <c r="G213" s="200"/>
      <c r="H213" s="200"/>
      <c r="I213" s="200"/>
      <c r="J213" s="200"/>
      <c r="K213" s="200"/>
      <c r="L213" s="200"/>
      <c r="M213" s="200"/>
      <c r="N213" s="199"/>
      <c r="O213" s="199"/>
      <c r="P213" s="200"/>
      <c r="Q213" s="200"/>
      <c r="R213" s="200"/>
      <c r="S213" s="199"/>
      <c r="T213" s="200"/>
      <c r="U213" s="200"/>
      <c r="V213" s="200"/>
      <c r="W213" s="200"/>
      <c r="X213" s="200"/>
      <c r="Y213" s="200"/>
      <c r="Z213" s="200"/>
      <c r="AA213" s="200"/>
      <c r="AB213" s="200"/>
      <c r="AC213" s="200"/>
      <c r="AD213" s="200"/>
      <c r="AE213" s="200"/>
      <c r="AF213" s="200"/>
      <c r="AG213" s="200"/>
      <c r="AH213" s="200"/>
      <c r="AI213" s="200"/>
      <c r="AJ213" s="224"/>
      <c r="AK213" s="210"/>
      <c r="AL213" s="210"/>
    </row>
    <row r="214" spans="1:38" s="197" customFormat="1" ht="15" customHeight="1">
      <c r="A214" s="529" t="s">
        <v>440</v>
      </c>
      <c r="B214" s="529"/>
      <c r="C214" s="529"/>
      <c r="D214" s="529"/>
      <c r="E214" s="529"/>
      <c r="F214" s="529"/>
      <c r="G214" s="529"/>
      <c r="H214" s="529"/>
      <c r="I214" s="529"/>
      <c r="J214" s="529"/>
      <c r="K214" s="529"/>
      <c r="L214" s="529"/>
      <c r="M214" s="529"/>
      <c r="N214" s="529"/>
      <c r="O214" s="529"/>
      <c r="P214" s="529"/>
      <c r="Q214" s="529"/>
      <c r="R214" s="529"/>
      <c r="S214" s="529"/>
      <c r="T214" s="529"/>
      <c r="U214" s="529"/>
      <c r="V214" s="529"/>
      <c r="W214" s="529"/>
      <c r="X214" s="529"/>
      <c r="Y214" s="529"/>
      <c r="Z214" s="529"/>
      <c r="AA214" s="529"/>
      <c r="AB214" s="529"/>
      <c r="AC214" s="529"/>
      <c r="AD214" s="529"/>
      <c r="AE214" s="529"/>
      <c r="AF214" s="529"/>
      <c r="AG214" s="529"/>
      <c r="AH214" s="529"/>
      <c r="AI214" s="529"/>
      <c r="AJ214" s="224"/>
      <c r="AK214" s="210"/>
      <c r="AL214" s="210"/>
    </row>
    <row r="215" spans="1:38" s="197" customFormat="1">
      <c r="A215" s="200"/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199"/>
      <c r="O215" s="199"/>
      <c r="P215" s="200"/>
      <c r="Q215" s="200"/>
      <c r="R215" s="200"/>
      <c r="S215" s="199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00"/>
      <c r="AF215" s="200"/>
      <c r="AG215" s="200"/>
      <c r="AH215" s="200"/>
      <c r="AI215" s="200"/>
      <c r="AJ215" s="224"/>
      <c r="AK215" s="210"/>
      <c r="AL215" s="210"/>
    </row>
    <row r="216" spans="1:38" s="197" customFormat="1">
      <c r="A216" s="530" t="s">
        <v>334</v>
      </c>
      <c r="B216" s="530"/>
      <c r="C216" s="530"/>
      <c r="D216" s="530"/>
      <c r="E216" s="530"/>
      <c r="F216" s="530"/>
      <c r="G216" s="530"/>
      <c r="H216" s="530"/>
      <c r="I216" s="530"/>
      <c r="J216" s="530"/>
      <c r="K216" s="530"/>
      <c r="L216" s="530"/>
      <c r="M216" s="530"/>
      <c r="N216" s="530"/>
      <c r="O216" s="530"/>
      <c r="P216" s="530"/>
      <c r="Q216" s="530"/>
      <c r="R216" s="530"/>
      <c r="S216" s="530"/>
      <c r="T216" s="530"/>
      <c r="U216" s="530"/>
      <c r="V216" s="530"/>
      <c r="W216" s="530"/>
      <c r="X216" s="530"/>
      <c r="Y216" s="530"/>
      <c r="Z216" s="530"/>
      <c r="AA216" s="530"/>
      <c r="AB216" s="530"/>
      <c r="AC216" s="530"/>
      <c r="AD216" s="530"/>
      <c r="AE216" s="530"/>
      <c r="AF216" s="530"/>
      <c r="AG216" s="530"/>
      <c r="AH216" s="530"/>
      <c r="AI216" s="530"/>
      <c r="AJ216" s="224"/>
      <c r="AK216" s="210"/>
      <c r="AL216" s="210"/>
    </row>
    <row r="217" spans="1:38" s="197" customFormat="1">
      <c r="A217" s="200"/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0"/>
      <c r="N217" s="199"/>
      <c r="O217" s="199"/>
      <c r="P217" s="200"/>
      <c r="Q217" s="200"/>
      <c r="R217" s="200"/>
      <c r="S217" s="199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26"/>
      <c r="AK217" s="210"/>
      <c r="AL217" s="210"/>
    </row>
    <row r="218" spans="1:38" s="197" customFormat="1">
      <c r="A218" s="200" t="s">
        <v>179</v>
      </c>
      <c r="B218" s="525">
        <f>B212</f>
        <v>4</v>
      </c>
      <c r="C218" s="525"/>
      <c r="D218" s="200" t="s">
        <v>332</v>
      </c>
      <c r="E218" s="200"/>
      <c r="F218" s="200"/>
      <c r="G218" s="200"/>
      <c r="H218" s="200"/>
      <c r="I218" s="200"/>
      <c r="J218" s="200"/>
      <c r="K218" s="200"/>
      <c r="L218" s="200"/>
      <c r="M218" s="200"/>
      <c r="N218" s="199"/>
      <c r="O218" s="199"/>
      <c r="P218" s="200"/>
      <c r="Q218" s="200"/>
      <c r="R218" s="200"/>
      <c r="S218" s="199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24"/>
      <c r="AK218" s="210"/>
      <c r="AL218" s="210"/>
    </row>
    <row r="219" spans="1:38" s="197" customFormat="1">
      <c r="A219" s="200"/>
      <c r="B219" s="200"/>
      <c r="C219" s="200"/>
      <c r="D219" s="200"/>
      <c r="E219" s="200"/>
      <c r="F219" s="200"/>
      <c r="G219" s="200"/>
      <c r="H219" s="200"/>
      <c r="I219" s="200"/>
      <c r="J219" s="200"/>
      <c r="K219" s="200"/>
      <c r="L219" s="200"/>
      <c r="M219" s="200"/>
      <c r="N219" s="199"/>
      <c r="O219" s="199"/>
      <c r="P219" s="200"/>
      <c r="Q219" s="200"/>
      <c r="R219" s="200"/>
      <c r="S219" s="199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24"/>
      <c r="AK219" s="210"/>
      <c r="AL219" s="210"/>
    </row>
    <row r="220" spans="1:38" s="197" customFormat="1" ht="30" customHeight="1">
      <c r="A220" s="529" t="s">
        <v>441</v>
      </c>
      <c r="B220" s="529"/>
      <c r="C220" s="529"/>
      <c r="D220" s="529"/>
      <c r="E220" s="529"/>
      <c r="F220" s="529"/>
      <c r="G220" s="529"/>
      <c r="H220" s="529"/>
      <c r="I220" s="529"/>
      <c r="J220" s="529"/>
      <c r="K220" s="529"/>
      <c r="L220" s="529"/>
      <c r="M220" s="529"/>
      <c r="N220" s="529"/>
      <c r="O220" s="529"/>
      <c r="P220" s="529"/>
      <c r="Q220" s="529"/>
      <c r="R220" s="529"/>
      <c r="S220" s="529"/>
      <c r="T220" s="529"/>
      <c r="U220" s="529"/>
      <c r="V220" s="529"/>
      <c r="W220" s="529"/>
      <c r="X220" s="529"/>
      <c r="Y220" s="529"/>
      <c r="Z220" s="529"/>
      <c r="AA220" s="529"/>
      <c r="AB220" s="529"/>
      <c r="AC220" s="529"/>
      <c r="AD220" s="529"/>
      <c r="AE220" s="529"/>
      <c r="AF220" s="529"/>
      <c r="AG220" s="529"/>
      <c r="AH220" s="529"/>
      <c r="AI220" s="529"/>
      <c r="AJ220" s="224"/>
      <c r="AK220" s="210"/>
      <c r="AL220" s="210"/>
    </row>
    <row r="221" spans="1:38" s="197" customFormat="1">
      <c r="A221" s="200"/>
      <c r="B221" s="200"/>
      <c r="C221" s="200"/>
      <c r="D221" s="200"/>
      <c r="E221" s="200"/>
      <c r="F221" s="200"/>
      <c r="G221" s="200"/>
      <c r="H221" s="200"/>
      <c r="I221" s="200"/>
      <c r="J221" s="200"/>
      <c r="K221" s="200"/>
      <c r="L221" s="200"/>
      <c r="M221" s="200"/>
      <c r="N221" s="199"/>
      <c r="O221" s="199"/>
      <c r="P221" s="200"/>
      <c r="Q221" s="200"/>
      <c r="R221" s="200"/>
      <c r="S221" s="199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00"/>
      <c r="AF221" s="200"/>
      <c r="AG221" s="200"/>
      <c r="AH221" s="200"/>
      <c r="AI221" s="200"/>
      <c r="AJ221" s="224"/>
      <c r="AK221" s="210"/>
      <c r="AL221" s="210"/>
    </row>
    <row r="222" spans="1:38" s="197" customFormat="1">
      <c r="A222" s="530" t="s">
        <v>331</v>
      </c>
      <c r="B222" s="530"/>
      <c r="C222" s="530"/>
      <c r="D222" s="530"/>
      <c r="E222" s="530"/>
      <c r="F222" s="530"/>
      <c r="G222" s="530"/>
      <c r="H222" s="530"/>
      <c r="I222" s="530"/>
      <c r="J222" s="530"/>
      <c r="K222" s="530"/>
      <c r="L222" s="530"/>
      <c r="M222" s="530"/>
      <c r="N222" s="530"/>
      <c r="O222" s="530"/>
      <c r="P222" s="530"/>
      <c r="Q222" s="530"/>
      <c r="R222" s="530"/>
      <c r="S222" s="530"/>
      <c r="T222" s="530"/>
      <c r="U222" s="530"/>
      <c r="V222" s="530"/>
      <c r="W222" s="530"/>
      <c r="X222" s="530"/>
      <c r="Y222" s="530"/>
      <c r="Z222" s="530"/>
      <c r="AA222" s="530"/>
      <c r="AB222" s="530"/>
      <c r="AC222" s="530"/>
      <c r="AD222" s="530"/>
      <c r="AE222" s="530"/>
      <c r="AF222" s="530"/>
      <c r="AG222" s="530"/>
      <c r="AH222" s="530"/>
      <c r="AI222" s="530"/>
      <c r="AJ222" s="224"/>
      <c r="AK222" s="210"/>
      <c r="AL222" s="210"/>
    </row>
    <row r="223" spans="1:38" s="197" customFormat="1">
      <c r="A223" s="200"/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00"/>
      <c r="M223" s="200"/>
      <c r="N223" s="199"/>
      <c r="O223" s="199"/>
      <c r="P223" s="200"/>
      <c r="Q223" s="200"/>
      <c r="R223" s="200"/>
      <c r="S223" s="199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200"/>
      <c r="AE223" s="200"/>
      <c r="AF223" s="200"/>
      <c r="AG223" s="200"/>
      <c r="AH223" s="200"/>
      <c r="AI223" s="200"/>
      <c r="AJ223" s="224"/>
      <c r="AK223" s="210"/>
      <c r="AL223" s="210"/>
    </row>
    <row r="224" spans="1:38" s="197" customFormat="1">
      <c r="A224" s="200" t="s">
        <v>179</v>
      </c>
      <c r="B224" s="525">
        <v>2</v>
      </c>
      <c r="C224" s="525"/>
      <c r="D224" s="200" t="s">
        <v>332</v>
      </c>
      <c r="E224" s="200"/>
      <c r="F224" s="200"/>
      <c r="G224" s="200"/>
      <c r="H224" s="200"/>
      <c r="I224" s="200"/>
      <c r="J224" s="200"/>
      <c r="K224" s="200"/>
      <c r="L224" s="200"/>
      <c r="M224" s="200"/>
      <c r="N224" s="199"/>
      <c r="O224" s="199"/>
      <c r="P224" s="200"/>
      <c r="Q224" s="200"/>
      <c r="R224" s="200"/>
      <c r="S224" s="199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200"/>
      <c r="AE224" s="200"/>
      <c r="AF224" s="200"/>
      <c r="AG224" s="200"/>
      <c r="AH224" s="200"/>
      <c r="AI224" s="200"/>
      <c r="AJ224" s="224"/>
      <c r="AK224" s="210"/>
      <c r="AL224" s="210"/>
    </row>
    <row r="225" spans="1:73" s="197" customFormat="1">
      <c r="A225" s="200"/>
      <c r="B225" s="200"/>
      <c r="C225" s="200"/>
      <c r="D225" s="200"/>
      <c r="E225" s="200"/>
      <c r="F225" s="200"/>
      <c r="G225" s="200"/>
      <c r="H225" s="200"/>
      <c r="I225" s="200"/>
      <c r="J225" s="200"/>
      <c r="K225" s="200"/>
      <c r="L225" s="200"/>
      <c r="M225" s="200"/>
      <c r="N225" s="199"/>
      <c r="O225" s="199"/>
      <c r="P225" s="200"/>
      <c r="Q225" s="200"/>
      <c r="R225" s="200"/>
      <c r="S225" s="199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/>
      <c r="AD225" s="200"/>
      <c r="AE225" s="200"/>
      <c r="AF225" s="200"/>
      <c r="AG225" s="200"/>
      <c r="AH225" s="200"/>
      <c r="AI225" s="200"/>
      <c r="AJ225" s="224"/>
      <c r="AK225" s="210"/>
      <c r="AL225" s="210"/>
    </row>
    <row r="226" spans="1:73" ht="15">
      <c r="A226" s="539" t="s">
        <v>367</v>
      </c>
      <c r="B226" s="540"/>
      <c r="C226" s="540"/>
      <c r="D226" s="540"/>
      <c r="E226" s="540"/>
      <c r="F226" s="540"/>
      <c r="G226" s="540"/>
      <c r="H226" s="540"/>
      <c r="I226" s="540"/>
      <c r="J226" s="540"/>
      <c r="K226" s="540"/>
      <c r="L226" s="540"/>
      <c r="M226" s="540"/>
      <c r="N226" s="540"/>
      <c r="O226" s="540"/>
      <c r="P226" s="540"/>
      <c r="Q226" s="540"/>
      <c r="R226" s="540"/>
      <c r="S226" s="540"/>
      <c r="T226" s="540"/>
      <c r="U226" s="540"/>
      <c r="V226" s="540"/>
      <c r="W226" s="540"/>
      <c r="X226" s="540"/>
      <c r="Y226" s="540"/>
      <c r="Z226" s="540"/>
      <c r="AA226" s="540"/>
      <c r="AB226" s="540"/>
      <c r="AC226" s="540"/>
      <c r="AD226" s="540"/>
      <c r="AE226" s="540"/>
      <c r="AF226" s="540"/>
      <c r="AG226" s="540"/>
      <c r="AH226" s="540"/>
      <c r="AI226" s="541"/>
      <c r="AJ226" s="200"/>
      <c r="AK226" s="200"/>
      <c r="AL226" s="200"/>
      <c r="AW226" s="199"/>
      <c r="AX226" s="199"/>
      <c r="BB226" s="199"/>
      <c r="BS226" s="198"/>
      <c r="BT226" s="199"/>
      <c r="BU226" s="199"/>
    </row>
    <row r="227" spans="1:73" s="197" customFormat="1"/>
    <row r="228" spans="1:73" ht="15">
      <c r="A228" s="542" t="s">
        <v>368</v>
      </c>
      <c r="B228" s="542"/>
      <c r="C228" s="542"/>
      <c r="D228" s="542"/>
      <c r="E228" s="542"/>
      <c r="F228" s="542"/>
      <c r="G228" s="542"/>
      <c r="H228" s="542"/>
      <c r="I228" s="542"/>
      <c r="J228" s="542"/>
      <c r="K228" s="542"/>
      <c r="L228" s="542"/>
      <c r="M228" s="542"/>
      <c r="N228" s="542"/>
      <c r="O228" s="542"/>
      <c r="P228" s="542"/>
      <c r="Q228" s="542"/>
      <c r="R228" s="542"/>
      <c r="S228" s="542"/>
      <c r="T228" s="542"/>
      <c r="U228" s="542"/>
      <c r="V228" s="542"/>
      <c r="W228" s="542"/>
      <c r="X228" s="542"/>
      <c r="Y228" s="542"/>
      <c r="Z228" s="542"/>
      <c r="AA228" s="542"/>
      <c r="AB228" s="542"/>
      <c r="AC228" s="542"/>
      <c r="AD228" s="542"/>
      <c r="AE228" s="542"/>
      <c r="AF228" s="542"/>
      <c r="AG228" s="542"/>
      <c r="AH228" s="542"/>
      <c r="AI228" s="542"/>
    </row>
    <row r="230" spans="1:73">
      <c r="A230" s="530" t="s">
        <v>229</v>
      </c>
      <c r="B230" s="530"/>
      <c r="C230" s="530"/>
      <c r="D230" s="530"/>
      <c r="E230" s="530"/>
      <c r="F230" s="530"/>
      <c r="G230" s="530"/>
      <c r="H230" s="530"/>
      <c r="I230" s="530"/>
      <c r="J230" s="530"/>
      <c r="K230" s="530"/>
      <c r="L230" s="530"/>
      <c r="M230" s="530"/>
      <c r="N230" s="530"/>
      <c r="O230" s="530"/>
      <c r="P230" s="530"/>
      <c r="Q230" s="530"/>
      <c r="R230" s="530"/>
      <c r="S230" s="530"/>
      <c r="T230" s="530"/>
      <c r="U230" s="530"/>
      <c r="V230" s="530"/>
      <c r="W230" s="530"/>
      <c r="X230" s="530"/>
      <c r="Y230" s="530"/>
      <c r="Z230" s="530"/>
      <c r="AA230" s="530"/>
      <c r="AB230" s="530"/>
      <c r="AC230" s="530"/>
      <c r="AD230" s="530"/>
      <c r="AE230" s="530"/>
      <c r="AF230" s="530"/>
      <c r="AG230" s="530"/>
      <c r="AH230" s="530"/>
      <c r="AI230" s="530"/>
    </row>
    <row r="232" spans="1:73">
      <c r="A232" s="200" t="s">
        <v>230</v>
      </c>
      <c r="B232" s="543">
        <f>C42</f>
        <v>1913.77</v>
      </c>
      <c r="C232" s="530"/>
      <c r="D232" s="530"/>
      <c r="E232" s="200" t="s">
        <v>85</v>
      </c>
    </row>
  </sheetData>
  <mergeCells count="379">
    <mergeCell ref="A12:AI12"/>
    <mergeCell ref="A14:AI14"/>
    <mergeCell ref="A15:AI15"/>
    <mergeCell ref="B16:C16"/>
    <mergeCell ref="G16:H16"/>
    <mergeCell ref="C18:E18"/>
    <mergeCell ref="A2:AI2"/>
    <mergeCell ref="A4:AI4"/>
    <mergeCell ref="A6:AI6"/>
    <mergeCell ref="A8:AI8"/>
    <mergeCell ref="B10:C10"/>
    <mergeCell ref="F10:G10"/>
    <mergeCell ref="J10:K10"/>
    <mergeCell ref="E17:F17"/>
    <mergeCell ref="A39:AI39"/>
    <mergeCell ref="B40:C40"/>
    <mergeCell ref="G40:H40"/>
    <mergeCell ref="A44:AI44"/>
    <mergeCell ref="A20:AI20"/>
    <mergeCell ref="A22:AI22"/>
    <mergeCell ref="B24:C24"/>
    <mergeCell ref="A26:AI26"/>
    <mergeCell ref="A36:AI36"/>
    <mergeCell ref="A38:AI38"/>
    <mergeCell ref="A28:AI28"/>
    <mergeCell ref="A30:AI30"/>
    <mergeCell ref="A31:AI31"/>
    <mergeCell ref="B32:C32"/>
    <mergeCell ref="G32:H32"/>
    <mergeCell ref="B34:D34"/>
    <mergeCell ref="E33:F33"/>
    <mergeCell ref="E41:F41"/>
    <mergeCell ref="AJ63:AK63"/>
    <mergeCell ref="B65:D65"/>
    <mergeCell ref="G65:H65"/>
    <mergeCell ref="L65:M65"/>
    <mergeCell ref="P65:Q65"/>
    <mergeCell ref="S65:T65"/>
    <mergeCell ref="F59:G59"/>
    <mergeCell ref="A61:AI61"/>
    <mergeCell ref="A46:AI46"/>
    <mergeCell ref="A48:D48"/>
    <mergeCell ref="F48:G48"/>
    <mergeCell ref="A49:D49"/>
    <mergeCell ref="F49:G49"/>
    <mergeCell ref="A50:D50"/>
    <mergeCell ref="F50:G50"/>
    <mergeCell ref="A56:D56"/>
    <mergeCell ref="F56:G56"/>
    <mergeCell ref="A57:D57"/>
    <mergeCell ref="F57:G57"/>
    <mergeCell ref="J74:K74"/>
    <mergeCell ref="L74:M74"/>
    <mergeCell ref="N74:O74"/>
    <mergeCell ref="A73:D73"/>
    <mergeCell ref="F73:G73"/>
    <mergeCell ref="H73:I73"/>
    <mergeCell ref="J73:K73"/>
    <mergeCell ref="L73:M73"/>
    <mergeCell ref="N73:O73"/>
    <mergeCell ref="C82:D82"/>
    <mergeCell ref="E82:F82"/>
    <mergeCell ref="G82:H82"/>
    <mergeCell ref="I82:J82"/>
    <mergeCell ref="K82:L82"/>
    <mergeCell ref="A85:D85"/>
    <mergeCell ref="F85:G85"/>
    <mergeCell ref="H85:I85"/>
    <mergeCell ref="J85:K85"/>
    <mergeCell ref="L85:M85"/>
    <mergeCell ref="Q86:R86"/>
    <mergeCell ref="F87:G87"/>
    <mergeCell ref="H87:I87"/>
    <mergeCell ref="J87:K87"/>
    <mergeCell ref="L87:M87"/>
    <mergeCell ref="N87:O87"/>
    <mergeCell ref="N85:O85"/>
    <mergeCell ref="F86:G86"/>
    <mergeCell ref="H86:I86"/>
    <mergeCell ref="J86:K86"/>
    <mergeCell ref="L86:M86"/>
    <mergeCell ref="N86:O86"/>
    <mergeCell ref="N100:O100"/>
    <mergeCell ref="A89:AI89"/>
    <mergeCell ref="A91:AI91"/>
    <mergeCell ref="B93:C93"/>
    <mergeCell ref="D93:E93"/>
    <mergeCell ref="A95:AI95"/>
    <mergeCell ref="A99:D99"/>
    <mergeCell ref="F99:G99"/>
    <mergeCell ref="H99:I99"/>
    <mergeCell ref="J99:K99"/>
    <mergeCell ref="L99:M99"/>
    <mergeCell ref="A112:D112"/>
    <mergeCell ref="F112:G112"/>
    <mergeCell ref="H112:I112"/>
    <mergeCell ref="J112:K112"/>
    <mergeCell ref="L112:M112"/>
    <mergeCell ref="N112:O112"/>
    <mergeCell ref="A111:D111"/>
    <mergeCell ref="F111:G111"/>
    <mergeCell ref="H111:I111"/>
    <mergeCell ref="J111:K111"/>
    <mergeCell ref="L111:M111"/>
    <mergeCell ref="N111:O111"/>
    <mergeCell ref="J117:K117"/>
    <mergeCell ref="L117:M117"/>
    <mergeCell ref="N117:O117"/>
    <mergeCell ref="F113:G113"/>
    <mergeCell ref="I113:J113"/>
    <mergeCell ref="L113:M113"/>
    <mergeCell ref="E116:F116"/>
    <mergeCell ref="H116:I116"/>
    <mergeCell ref="J116:K116"/>
    <mergeCell ref="L116:M116"/>
    <mergeCell ref="AJ138:AK138"/>
    <mergeCell ref="B139:C139"/>
    <mergeCell ref="D139:E139"/>
    <mergeCell ref="B126:D126"/>
    <mergeCell ref="A128:AI128"/>
    <mergeCell ref="A130:AI131"/>
    <mergeCell ref="AJ132:AK132"/>
    <mergeCell ref="B134:C134"/>
    <mergeCell ref="G134:H134"/>
    <mergeCell ref="C141:D141"/>
    <mergeCell ref="A226:AI226"/>
    <mergeCell ref="A228:AI228"/>
    <mergeCell ref="A230:AI230"/>
    <mergeCell ref="B232:D232"/>
    <mergeCell ref="C42:E42"/>
    <mergeCell ref="A51:D51"/>
    <mergeCell ref="F51:G51"/>
    <mergeCell ref="A52:D52"/>
    <mergeCell ref="F52:G52"/>
    <mergeCell ref="B135:C135"/>
    <mergeCell ref="D135:E135"/>
    <mergeCell ref="B138:C138"/>
    <mergeCell ref="G138:H138"/>
    <mergeCell ref="C119:D119"/>
    <mergeCell ref="A121:AI121"/>
    <mergeCell ref="A123:AI123"/>
    <mergeCell ref="C125:D125"/>
    <mergeCell ref="G125:H125"/>
    <mergeCell ref="J125:K125"/>
    <mergeCell ref="A117:D117"/>
    <mergeCell ref="F117:G117"/>
    <mergeCell ref="H117:I117"/>
    <mergeCell ref="A75:D75"/>
    <mergeCell ref="F75:G75"/>
    <mergeCell ref="A53:D53"/>
    <mergeCell ref="F53:G53"/>
    <mergeCell ref="A54:D54"/>
    <mergeCell ref="F54:G54"/>
    <mergeCell ref="A55:D55"/>
    <mergeCell ref="F55:G55"/>
    <mergeCell ref="A74:D74"/>
    <mergeCell ref="F74:G74"/>
    <mergeCell ref="B66:D66"/>
    <mergeCell ref="A68:AI68"/>
    <mergeCell ref="A70:AI70"/>
    <mergeCell ref="A72:D72"/>
    <mergeCell ref="F72:G72"/>
    <mergeCell ref="H72:I72"/>
    <mergeCell ref="J72:K72"/>
    <mergeCell ref="L72:M72"/>
    <mergeCell ref="N72:O72"/>
    <mergeCell ref="A63:AI63"/>
    <mergeCell ref="H75:I75"/>
    <mergeCell ref="J75:K75"/>
    <mergeCell ref="L75:M75"/>
    <mergeCell ref="N75:O75"/>
    <mergeCell ref="H74:I74"/>
    <mergeCell ref="A76:D76"/>
    <mergeCell ref="F76:G76"/>
    <mergeCell ref="H76:I76"/>
    <mergeCell ref="J76:K76"/>
    <mergeCell ref="L76:M76"/>
    <mergeCell ref="N76:O76"/>
    <mergeCell ref="A78:D78"/>
    <mergeCell ref="F78:G78"/>
    <mergeCell ref="H78:I78"/>
    <mergeCell ref="J78:K78"/>
    <mergeCell ref="L78:M78"/>
    <mergeCell ref="N78:O78"/>
    <mergeCell ref="A77:D77"/>
    <mergeCell ref="F77:G77"/>
    <mergeCell ref="H77:I77"/>
    <mergeCell ref="J77:K77"/>
    <mergeCell ref="L77:M77"/>
    <mergeCell ref="N77:O77"/>
    <mergeCell ref="A80:D80"/>
    <mergeCell ref="F80:G80"/>
    <mergeCell ref="H80:I80"/>
    <mergeCell ref="J80:K80"/>
    <mergeCell ref="L80:M80"/>
    <mergeCell ref="N80:O80"/>
    <mergeCell ref="A79:D79"/>
    <mergeCell ref="F79:G79"/>
    <mergeCell ref="H79:I79"/>
    <mergeCell ref="J79:K79"/>
    <mergeCell ref="L79:M79"/>
    <mergeCell ref="N79:O79"/>
    <mergeCell ref="A102:D102"/>
    <mergeCell ref="F102:G102"/>
    <mergeCell ref="H102:I102"/>
    <mergeCell ref="J102:K102"/>
    <mergeCell ref="L102:M102"/>
    <mergeCell ref="N102:O102"/>
    <mergeCell ref="A81:D81"/>
    <mergeCell ref="F81:G81"/>
    <mergeCell ref="H81:I81"/>
    <mergeCell ref="J81:K81"/>
    <mergeCell ref="L81:M81"/>
    <mergeCell ref="N81:O81"/>
    <mergeCell ref="A101:D101"/>
    <mergeCell ref="F101:G101"/>
    <mergeCell ref="H101:I101"/>
    <mergeCell ref="J101:K101"/>
    <mergeCell ref="L101:M101"/>
    <mergeCell ref="N101:O101"/>
    <mergeCell ref="N99:O99"/>
    <mergeCell ref="A100:D100"/>
    <mergeCell ref="F100:G100"/>
    <mergeCell ref="H100:I100"/>
    <mergeCell ref="J100:K100"/>
    <mergeCell ref="L100:M100"/>
    <mergeCell ref="A104:D104"/>
    <mergeCell ref="F104:G104"/>
    <mergeCell ref="H104:I104"/>
    <mergeCell ref="J104:K104"/>
    <mergeCell ref="L104:M104"/>
    <mergeCell ref="N104:O104"/>
    <mergeCell ref="A103:D103"/>
    <mergeCell ref="F103:G103"/>
    <mergeCell ref="H103:I103"/>
    <mergeCell ref="J103:K103"/>
    <mergeCell ref="L103:M103"/>
    <mergeCell ref="N103:O103"/>
    <mergeCell ref="A106:D106"/>
    <mergeCell ref="F106:G106"/>
    <mergeCell ref="H106:I106"/>
    <mergeCell ref="J106:K106"/>
    <mergeCell ref="L106:M106"/>
    <mergeCell ref="N106:O106"/>
    <mergeCell ref="A105:D105"/>
    <mergeCell ref="F105:G105"/>
    <mergeCell ref="H105:I105"/>
    <mergeCell ref="J105:K105"/>
    <mergeCell ref="L105:M105"/>
    <mergeCell ref="N105:O105"/>
    <mergeCell ref="A108:D108"/>
    <mergeCell ref="F108:G108"/>
    <mergeCell ref="H108:I108"/>
    <mergeCell ref="J108:K108"/>
    <mergeCell ref="L108:M108"/>
    <mergeCell ref="N108:O108"/>
    <mergeCell ref="A107:D107"/>
    <mergeCell ref="F107:G107"/>
    <mergeCell ref="H107:I107"/>
    <mergeCell ref="J107:K107"/>
    <mergeCell ref="L107:M107"/>
    <mergeCell ref="N107:O107"/>
    <mergeCell ref="C151:D151"/>
    <mergeCell ref="A153:AI153"/>
    <mergeCell ref="A155:AI155"/>
    <mergeCell ref="G157:H157"/>
    <mergeCell ref="J157:K157"/>
    <mergeCell ref="N157:O157"/>
    <mergeCell ref="R157:S157"/>
    <mergeCell ref="V157:W157"/>
    <mergeCell ref="A143:AI143"/>
    <mergeCell ref="A145:AI145"/>
    <mergeCell ref="A147:AI147"/>
    <mergeCell ref="A149:F149"/>
    <mergeCell ref="G149:H149"/>
    <mergeCell ref="J149:K149"/>
    <mergeCell ref="L149:M149"/>
    <mergeCell ref="N149:O149"/>
    <mergeCell ref="G159:H159"/>
    <mergeCell ref="J159:K159"/>
    <mergeCell ref="L159:M159"/>
    <mergeCell ref="N159:O159"/>
    <mergeCell ref="P159:Q159"/>
    <mergeCell ref="R159:S159"/>
    <mergeCell ref="T159:U159"/>
    <mergeCell ref="V159:W159"/>
    <mergeCell ref="A158:F158"/>
    <mergeCell ref="G158:H158"/>
    <mergeCell ref="J158:K158"/>
    <mergeCell ref="L158:M158"/>
    <mergeCell ref="N158:O158"/>
    <mergeCell ref="P158:Q158"/>
    <mergeCell ref="R158:S158"/>
    <mergeCell ref="T158:U158"/>
    <mergeCell ref="V158:W158"/>
    <mergeCell ref="G167:H167"/>
    <mergeCell ref="J167:K167"/>
    <mergeCell ref="L167:M167"/>
    <mergeCell ref="N167:O167"/>
    <mergeCell ref="P167:Q167"/>
    <mergeCell ref="R167:S167"/>
    <mergeCell ref="C161:D161"/>
    <mergeCell ref="A163:AI163"/>
    <mergeCell ref="G165:H165"/>
    <mergeCell ref="J165:K165"/>
    <mergeCell ref="N165:O165"/>
    <mergeCell ref="R165:S165"/>
    <mergeCell ref="A166:F166"/>
    <mergeCell ref="G166:H166"/>
    <mergeCell ref="J166:K166"/>
    <mergeCell ref="L166:M166"/>
    <mergeCell ref="N166:O166"/>
    <mergeCell ref="P166:Q166"/>
    <mergeCell ref="R166:S166"/>
    <mergeCell ref="C178:D178"/>
    <mergeCell ref="C169:D169"/>
    <mergeCell ref="A171:AI171"/>
    <mergeCell ref="A173:AI173"/>
    <mergeCell ref="G175:H175"/>
    <mergeCell ref="J175:K175"/>
    <mergeCell ref="N175:O175"/>
    <mergeCell ref="R175:S175"/>
    <mergeCell ref="V175:W175"/>
    <mergeCell ref="A176:F176"/>
    <mergeCell ref="G176:H176"/>
    <mergeCell ref="J176:K176"/>
    <mergeCell ref="L176:M176"/>
    <mergeCell ref="N176:O176"/>
    <mergeCell ref="P176:Q176"/>
    <mergeCell ref="R176:S176"/>
    <mergeCell ref="T176:U176"/>
    <mergeCell ref="V176:W176"/>
    <mergeCell ref="A188:AI188"/>
    <mergeCell ref="A190:AI190"/>
    <mergeCell ref="A192:F192"/>
    <mergeCell ref="G192:H192"/>
    <mergeCell ref="A196:F196"/>
    <mergeCell ref="G196:H196"/>
    <mergeCell ref="AE197:AF197"/>
    <mergeCell ref="A180:AI180"/>
    <mergeCell ref="A182:AI182"/>
    <mergeCell ref="A184:F184"/>
    <mergeCell ref="G184:H184"/>
    <mergeCell ref="A186:B186"/>
    <mergeCell ref="C186:D186"/>
    <mergeCell ref="A198:F198"/>
    <mergeCell ref="G198:H198"/>
    <mergeCell ref="J198:K198"/>
    <mergeCell ref="A199:F199"/>
    <mergeCell ref="G199:H199"/>
    <mergeCell ref="J199:K199"/>
    <mergeCell ref="L199:M199"/>
    <mergeCell ref="N199:O199"/>
    <mergeCell ref="AA199:AB199"/>
    <mergeCell ref="A201:F201"/>
    <mergeCell ref="G201:H201"/>
    <mergeCell ref="J201:K201"/>
    <mergeCell ref="N201:O201"/>
    <mergeCell ref="R201:S201"/>
    <mergeCell ref="A202:F202"/>
    <mergeCell ref="G202:H202"/>
    <mergeCell ref="J202:K202"/>
    <mergeCell ref="L202:M202"/>
    <mergeCell ref="N202:O202"/>
    <mergeCell ref="P202:Q202"/>
    <mergeCell ref="R202:S202"/>
    <mergeCell ref="B224:C224"/>
    <mergeCell ref="B212:C212"/>
    <mergeCell ref="A214:AI214"/>
    <mergeCell ref="A216:AI216"/>
    <mergeCell ref="B218:C218"/>
    <mergeCell ref="A220:AI220"/>
    <mergeCell ref="A222:AI222"/>
    <mergeCell ref="T202:U202"/>
    <mergeCell ref="V202:W202"/>
    <mergeCell ref="D204:E204"/>
    <mergeCell ref="B206:D206"/>
    <mergeCell ref="A208:AI208"/>
    <mergeCell ref="A210:AI210"/>
  </mergeCells>
  <printOptions horizontalCentered="1"/>
  <pageMargins left="0.25" right="0.25" top="0.75" bottom="0.75" header="0.3" footer="0.3"/>
  <pageSetup paperSize="9" scale="55" orientation="portrait" horizontalDpi="4294967293" verticalDpi="4294967293" r:id="rId1"/>
  <rowBreaks count="2" manualBreakCount="2">
    <brk id="87" max="34" man="1"/>
    <brk id="178" max="3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B1:AG45"/>
  <sheetViews>
    <sheetView view="pageBreakPreview" topLeftCell="A31" zoomScaleSheetLayoutView="100" workbookViewId="0">
      <selection activeCell="I44" sqref="I44"/>
    </sheetView>
  </sheetViews>
  <sheetFormatPr defaultColWidth="9.140625" defaultRowHeight="14.25"/>
  <cols>
    <col min="1" max="1" width="2.28515625" style="157" customWidth="1"/>
    <col min="2" max="2" width="13.85546875" style="234" customWidth="1"/>
    <col min="3" max="3" width="12.85546875" style="234" customWidth="1"/>
    <col min="4" max="4" width="9.140625" style="234"/>
    <col min="5" max="5" width="60.7109375" style="355" customWidth="1"/>
    <col min="6" max="6" width="9.140625" style="234"/>
    <col min="7" max="7" width="9.85546875" style="235" bestFit="1" customWidth="1"/>
    <col min="8" max="8" width="9.140625" style="235"/>
    <col min="9" max="9" width="10.28515625" style="235" customWidth="1"/>
    <col min="10" max="10" width="9.140625" style="157"/>
    <col min="11" max="11" width="9.140625" style="160"/>
    <col min="12" max="16384" width="9.140625" style="157"/>
  </cols>
  <sheetData>
    <row r="1" spans="2:11" s="153" customFormat="1" ht="21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.75" customHeight="1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354"/>
      <c r="F8" s="233"/>
      <c r="G8" s="233"/>
      <c r="H8" s="233"/>
      <c r="I8" s="233"/>
    </row>
    <row r="9" spans="2:11" ht="15" customHeight="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 ht="15" customHeight="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5">
      <c r="B11" s="158" t="s">
        <v>121</v>
      </c>
      <c r="C11" s="159" t="str">
        <f>'RUA 8'!C11</f>
        <v>1054116-72</v>
      </c>
      <c r="D11" s="194"/>
      <c r="E11" s="194"/>
      <c r="F11" s="194"/>
      <c r="G11" s="194"/>
      <c r="H11" s="194"/>
      <c r="I11" s="194"/>
    </row>
    <row r="12" spans="2:11" ht="15" customHeight="1">
      <c r="B12" s="158" t="s">
        <v>122</v>
      </c>
      <c r="C12" s="515" t="s">
        <v>375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9'!A2</f>
        <v>Rua Josete Maria da Silva Elias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ht="28.5" customHeight="1">
      <c r="B15" s="521" t="s">
        <v>125</v>
      </c>
      <c r="C15" s="521"/>
      <c r="D15" s="522" t="s">
        <v>376</v>
      </c>
      <c r="E15" s="522"/>
      <c r="F15" s="522"/>
      <c r="G15" s="522"/>
      <c r="H15" s="235" t="s">
        <v>126</v>
      </c>
      <c r="I15" s="237">
        <f>BDI!B14</f>
        <v>0.2203</v>
      </c>
    </row>
    <row r="17" spans="2:11" ht="15">
      <c r="B17" s="518" t="s">
        <v>127</v>
      </c>
      <c r="C17" s="518" t="s">
        <v>52</v>
      </c>
      <c r="D17" s="518" t="s">
        <v>46</v>
      </c>
      <c r="E17" s="549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1" ht="15">
      <c r="B18" s="518"/>
      <c r="C18" s="518"/>
      <c r="D18" s="518"/>
      <c r="E18" s="549"/>
      <c r="F18" s="518"/>
      <c r="G18" s="519"/>
      <c r="H18" s="239" t="s">
        <v>132</v>
      </c>
      <c r="I18" s="239" t="s">
        <v>133</v>
      </c>
    </row>
    <row r="20" spans="2:11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321.8</v>
      </c>
    </row>
    <row r="21" spans="2:11">
      <c r="B21" s="176" t="s">
        <v>136</v>
      </c>
      <c r="C21" s="176" t="s">
        <v>137</v>
      </c>
      <c r="D21" s="176" t="s">
        <v>138</v>
      </c>
      <c r="E21" s="360" t="s">
        <v>455</v>
      </c>
      <c r="F21" s="176" t="s">
        <v>85</v>
      </c>
      <c r="G21" s="361">
        <f>'MEMORIAL 9'!J10</f>
        <v>0</v>
      </c>
      <c r="H21" s="361">
        <f>ROUND(K21+(K21*$I$15),2)</f>
        <v>381.08</v>
      </c>
      <c r="I21" s="361">
        <f>ROUND(G21*H21,2)</f>
        <v>0</v>
      </c>
      <c r="K21" s="160">
        <f>'RUA 8'!K21</f>
        <v>312.27999999999997</v>
      </c>
    </row>
    <row r="22" spans="2:11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9'!C18</f>
        <v>328.24</v>
      </c>
      <c r="H22" s="361">
        <f>ROUND(K22+(K22*$I$15),2)</f>
        <v>0.35</v>
      </c>
      <c r="I22" s="361">
        <f>ROUND(G22*H22,2)</f>
        <v>114.88</v>
      </c>
      <c r="K22" s="160">
        <v>0.28999999999999998</v>
      </c>
    </row>
    <row r="23" spans="2:11" ht="28.5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9'!B24</f>
        <v>2</v>
      </c>
      <c r="H23" s="361">
        <f>ROUND(K23+(K23*$I$15),2)</f>
        <v>103.46</v>
      </c>
      <c r="I23" s="361">
        <f>ROUND(G23*H23,2)</f>
        <v>206.92</v>
      </c>
      <c r="K23" s="160">
        <f>'RUA 8'!K23</f>
        <v>84.78</v>
      </c>
    </row>
    <row r="24" spans="2:11">
      <c r="B24" s="524"/>
      <c r="C24" s="524"/>
      <c r="D24" s="524"/>
      <c r="E24" s="524"/>
      <c r="F24" s="524"/>
      <c r="G24" s="524"/>
      <c r="H24" s="524"/>
      <c r="I24" s="524"/>
    </row>
    <row r="26" spans="2:11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30065.919999999998</v>
      </c>
    </row>
    <row r="27" spans="2:11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9'!B68</f>
        <v>328.24</v>
      </c>
      <c r="H27" s="361">
        <f>ROUND(K27+(K27*$I$15),2)</f>
        <v>1.43</v>
      </c>
      <c r="I27" s="361">
        <f t="shared" ref="I27:I35" si="0">ROUND(G27*H27,2)</f>
        <v>469.38</v>
      </c>
      <c r="K27" s="160">
        <v>1.17</v>
      </c>
    </row>
    <row r="28" spans="2:11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'MEMORIAL 9'!B75</f>
        <v>328.24</v>
      </c>
      <c r="H28" s="361">
        <f>ROUND(K28+(K28*$I$15),2)</f>
        <v>50.13</v>
      </c>
      <c r="I28" s="361">
        <f t="shared" si="0"/>
        <v>16454.669999999998</v>
      </c>
      <c r="K28" s="160">
        <f>'RUA 8'!K28</f>
        <v>41.08</v>
      </c>
    </row>
    <row r="29" spans="2:11">
      <c r="B29" s="176" t="s">
        <v>149</v>
      </c>
      <c r="C29" s="176" t="s">
        <v>150</v>
      </c>
      <c r="D29" s="176" t="s">
        <v>151</v>
      </c>
      <c r="E29" s="360" t="s">
        <v>369</v>
      </c>
      <c r="F29" s="176" t="s">
        <v>148</v>
      </c>
      <c r="G29" s="361">
        <f>'MEMORIAL 9'!F85</f>
        <v>119.62</v>
      </c>
      <c r="H29" s="361">
        <f t="shared" ref="H29:H35" si="1">ROUND(K29+(K29*$I$15),2)</f>
        <v>15.49</v>
      </c>
      <c r="I29" s="361">
        <f t="shared" si="0"/>
        <v>1852.91</v>
      </c>
      <c r="K29" s="160">
        <f>'RUA 8'!K29</f>
        <v>12.69</v>
      </c>
    </row>
    <row r="30" spans="2:11" ht="28.5" hidden="1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9'!B92</f>
        <v>0</v>
      </c>
      <c r="H30" s="361">
        <f t="shared" si="1"/>
        <v>15.49</v>
      </c>
      <c r="I30" s="361">
        <f t="shared" si="0"/>
        <v>0</v>
      </c>
      <c r="K30" s="160">
        <f>'RUA 8'!K30</f>
        <v>12.69</v>
      </c>
    </row>
    <row r="31" spans="2:11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9'!N109</f>
        <v>93.68</v>
      </c>
      <c r="H31" s="361">
        <f t="shared" si="1"/>
        <v>61.73</v>
      </c>
      <c r="I31" s="361">
        <f t="shared" si="0"/>
        <v>5782.87</v>
      </c>
      <c r="K31" s="160">
        <f>'RUA 8'!K31</f>
        <v>50.59</v>
      </c>
    </row>
    <row r="32" spans="2:11" ht="42.75">
      <c r="B32" s="176" t="s">
        <v>145</v>
      </c>
      <c r="C32" s="380" t="s">
        <v>362</v>
      </c>
      <c r="D32" s="176" t="s">
        <v>157</v>
      </c>
      <c r="E32" s="360" t="s">
        <v>413</v>
      </c>
      <c r="F32" s="176" t="s">
        <v>102</v>
      </c>
      <c r="G32" s="361">
        <f>ROUND('MEMORIAL 9'!B116,2)</f>
        <v>4</v>
      </c>
      <c r="H32" s="361">
        <f t="shared" si="1"/>
        <v>871.48</v>
      </c>
      <c r="I32" s="361">
        <f t="shared" si="0"/>
        <v>3485.92</v>
      </c>
      <c r="K32" s="160">
        <f>COMP!K163</f>
        <v>714.15</v>
      </c>
    </row>
    <row r="33" spans="2:33" ht="51.6" customHeight="1">
      <c r="B33" s="176" t="s">
        <v>145</v>
      </c>
      <c r="C33" s="380" t="s">
        <v>421</v>
      </c>
      <c r="D33" s="176" t="s">
        <v>159</v>
      </c>
      <c r="E33" s="360" t="str">
        <f>'RUA 8'!E33</f>
        <v>Piso tátil direcional e/ou alerta, de concreto, colorido, p/deficientes visuais, dimensões 25x25cm, aplicado com argamassa industrializada AC-II, rejuntado, exclusive regularização de base</v>
      </c>
      <c r="F33" s="176" t="s">
        <v>85</v>
      </c>
      <c r="G33" s="361">
        <f>'MEMORIAL 9'!C134</f>
        <v>21.91</v>
      </c>
      <c r="H33" s="361">
        <f t="shared" si="1"/>
        <v>82.39</v>
      </c>
      <c r="I33" s="361">
        <f t="shared" si="0"/>
        <v>1805.16</v>
      </c>
      <c r="K33" s="160">
        <f>COMP!K439</f>
        <v>67.52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9'!B141,2)</f>
        <v>35.89</v>
      </c>
      <c r="H34" s="361">
        <f t="shared" si="1"/>
        <v>1.04</v>
      </c>
      <c r="I34" s="361">
        <f t="shared" si="0"/>
        <v>37.33</v>
      </c>
      <c r="K34" s="160">
        <f>'RUA 8'!K34</f>
        <v>0.85</v>
      </c>
    </row>
    <row r="35" spans="2:33" ht="30" customHeight="1">
      <c r="B35" s="176" t="s">
        <v>161</v>
      </c>
      <c r="C35" s="364" t="s">
        <v>162</v>
      </c>
      <c r="D35" s="176" t="s">
        <v>365</v>
      </c>
      <c r="E35" s="362" t="s">
        <v>164</v>
      </c>
      <c r="F35" s="242" t="s">
        <v>85</v>
      </c>
      <c r="G35" s="361">
        <f>'MEMORIAL 9'!C156</f>
        <v>0.56000000000000005</v>
      </c>
      <c r="H35" s="361">
        <f t="shared" si="1"/>
        <v>317.27999999999997</v>
      </c>
      <c r="I35" s="361">
        <f t="shared" si="0"/>
        <v>177.68</v>
      </c>
      <c r="K35" s="160">
        <f>'RUA 8'!K35</f>
        <v>260</v>
      </c>
    </row>
    <row r="36" spans="2:33">
      <c r="B36" s="524"/>
      <c r="C36" s="524"/>
      <c r="D36" s="524"/>
      <c r="E36" s="524"/>
      <c r="F36" s="524"/>
      <c r="G36" s="524"/>
      <c r="H36" s="524"/>
      <c r="I36" s="524"/>
    </row>
    <row r="37" spans="2:33">
      <c r="E37" s="356"/>
      <c r="G37" s="234"/>
      <c r="H37" s="234"/>
      <c r="I37" s="234"/>
    </row>
    <row r="38" spans="2:33" s="197" customFormat="1" ht="15">
      <c r="B38" s="238" t="s">
        <v>127</v>
      </c>
      <c r="C38" s="238" t="s">
        <v>52</v>
      </c>
      <c r="D38" s="238" t="s">
        <v>165</v>
      </c>
      <c r="E38" s="523" t="s">
        <v>166</v>
      </c>
      <c r="F38" s="523"/>
      <c r="G38" s="523"/>
      <c r="H38" s="523"/>
      <c r="I38" s="239">
        <f>SUM(I39)</f>
        <v>128.01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>
      <c r="B39" s="176" t="s">
        <v>158</v>
      </c>
      <c r="C39" s="176">
        <v>84523</v>
      </c>
      <c r="D39" s="176" t="s">
        <v>167</v>
      </c>
      <c r="E39" s="196" t="s">
        <v>168</v>
      </c>
      <c r="F39" s="176" t="s">
        <v>85</v>
      </c>
      <c r="G39" s="241">
        <f>'MEMORIAL 9'!B164</f>
        <v>328.24</v>
      </c>
      <c r="H39" s="244">
        <f>ROUND(K39+(K39*$I$15),2)</f>
        <v>0.39</v>
      </c>
      <c r="I39" s="176">
        <f>ROUND(G39*H39,2)</f>
        <v>128.01</v>
      </c>
      <c r="K39" s="160">
        <f>'RUA 8'!K51</f>
        <v>0.32</v>
      </c>
    </row>
    <row r="40" spans="2:33">
      <c r="B40" s="524"/>
      <c r="C40" s="524"/>
      <c r="D40" s="524"/>
      <c r="E40" s="524"/>
      <c r="F40" s="524"/>
      <c r="G40" s="524"/>
      <c r="H40" s="524"/>
      <c r="I40" s="524"/>
    </row>
    <row r="42" spans="2:33">
      <c r="B42" s="550" t="s">
        <v>133</v>
      </c>
      <c r="C42" s="551"/>
      <c r="D42" s="551"/>
      <c r="E42" s="551"/>
      <c r="F42" s="551"/>
      <c r="G42" s="551"/>
      <c r="H42" s="552"/>
      <c r="I42" s="556">
        <f>I26+I20+I38-0.01</f>
        <v>30515.72</v>
      </c>
    </row>
    <row r="43" spans="2:33">
      <c r="B43" s="553"/>
      <c r="C43" s="554"/>
      <c r="D43" s="554"/>
      <c r="E43" s="554"/>
      <c r="F43" s="554"/>
      <c r="G43" s="554"/>
      <c r="H43" s="555"/>
      <c r="I43" s="557"/>
    </row>
    <row r="45" spans="2:33">
      <c r="B45" s="245"/>
    </row>
  </sheetData>
  <mergeCells count="28">
    <mergeCell ref="B15:C15"/>
    <mergeCell ref="D15:G15"/>
    <mergeCell ref="B1:I1"/>
    <mergeCell ref="B2:I2"/>
    <mergeCell ref="B3:I3"/>
    <mergeCell ref="B4:I4"/>
    <mergeCell ref="B5:I5"/>
    <mergeCell ref="B6:I6"/>
    <mergeCell ref="B7:I7"/>
    <mergeCell ref="B9:I9"/>
    <mergeCell ref="B10:I10"/>
    <mergeCell ref="C12:I12"/>
    <mergeCell ref="C13:I13"/>
    <mergeCell ref="B40:I40"/>
    <mergeCell ref="B42:H43"/>
    <mergeCell ref="I42:I43"/>
    <mergeCell ref="H17:I17"/>
    <mergeCell ref="E20:H20"/>
    <mergeCell ref="B24:I24"/>
    <mergeCell ref="E26:H26"/>
    <mergeCell ref="B36:I36"/>
    <mergeCell ref="E38:H38"/>
    <mergeCell ref="B17:B18"/>
    <mergeCell ref="C17:C18"/>
    <mergeCell ref="D17:D18"/>
    <mergeCell ref="E17:E18"/>
    <mergeCell ref="F17:F18"/>
    <mergeCell ref="G17:G18"/>
  </mergeCells>
  <pageMargins left="0.25" right="0.25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2"/>
  <dimension ref="B1:Q611"/>
  <sheetViews>
    <sheetView view="pageBreakPreview" topLeftCell="A543" zoomScaleSheetLayoutView="100" workbookViewId="0">
      <selection activeCell="O565" sqref="O564:O565"/>
    </sheetView>
  </sheetViews>
  <sheetFormatPr defaultColWidth="9.140625" defaultRowHeight="9"/>
  <cols>
    <col min="1" max="1" width="1.7109375" style="249" customWidth="1"/>
    <col min="2" max="2" width="0.85546875" style="249" customWidth="1"/>
    <col min="3" max="3" width="5" style="250" customWidth="1"/>
    <col min="4" max="4" width="60" style="249" customWidth="1"/>
    <col min="5" max="5" width="5" style="249" customWidth="1"/>
    <col min="6" max="6" width="7.7109375" style="249" bestFit="1" customWidth="1"/>
    <col min="7" max="7" width="7.28515625" style="249" customWidth="1"/>
    <col min="8" max="8" width="8.85546875" style="249" bestFit="1" customWidth="1"/>
    <col min="9" max="9" width="8.5703125" style="249" customWidth="1"/>
    <col min="10" max="10" width="8.42578125" style="249" customWidth="1"/>
    <col min="11" max="11" width="12.28515625" style="249" customWidth="1"/>
    <col min="12" max="12" width="0.85546875" style="249" customWidth="1"/>
    <col min="13" max="13" width="1.7109375" style="249" customWidth="1"/>
    <col min="14" max="16" width="9.28515625" style="249" customWidth="1"/>
    <col min="17" max="17" width="9.28515625" style="249" bestFit="1" customWidth="1"/>
    <col min="18" max="16384" width="9.140625" style="249"/>
  </cols>
  <sheetData>
    <row r="1" spans="2:17">
      <c r="B1" s="260"/>
      <c r="C1" s="261"/>
      <c r="D1" s="262"/>
      <c r="E1" s="262"/>
      <c r="F1" s="262"/>
      <c r="G1" s="262"/>
      <c r="H1" s="262"/>
      <c r="I1" s="262"/>
      <c r="J1" s="262"/>
      <c r="K1" s="262"/>
      <c r="L1" s="263"/>
    </row>
    <row r="2" spans="2:17" ht="27" customHeight="1">
      <c r="B2" s="254"/>
      <c r="C2" s="506" t="s">
        <v>39</v>
      </c>
      <c r="D2" s="507"/>
      <c r="E2" s="507"/>
      <c r="F2" s="507"/>
      <c r="G2" s="507"/>
      <c r="H2" s="507"/>
      <c r="I2" s="507"/>
      <c r="J2" s="507"/>
      <c r="K2" s="508"/>
      <c r="L2" s="255"/>
    </row>
    <row r="3" spans="2:17" ht="5.0999999999999996" customHeight="1">
      <c r="B3" s="256"/>
      <c r="C3" s="257"/>
      <c r="D3" s="257"/>
      <c r="E3" s="257"/>
      <c r="F3" s="257"/>
      <c r="G3" s="257"/>
      <c r="H3" s="257"/>
      <c r="I3" s="257"/>
      <c r="J3" s="257"/>
      <c r="K3" s="257"/>
      <c r="L3" s="258"/>
    </row>
    <row r="4" spans="2:17" ht="9.9499999999999993" customHeight="1"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2:17" ht="5.0999999999999996" customHeight="1">
      <c r="B5" s="260"/>
      <c r="C5" s="261"/>
      <c r="D5" s="262"/>
      <c r="E5" s="262"/>
      <c r="F5" s="262"/>
      <c r="G5" s="262"/>
      <c r="H5" s="262"/>
      <c r="I5" s="262"/>
      <c r="J5" s="262"/>
      <c r="K5" s="262"/>
      <c r="L5" s="263"/>
    </row>
    <row r="6" spans="2:17" ht="15" customHeight="1">
      <c r="B6" s="264"/>
      <c r="C6" s="495" t="s">
        <v>40</v>
      </c>
      <c r="D6" s="496"/>
      <c r="E6" s="265"/>
      <c r="F6" s="265"/>
      <c r="G6" s="265"/>
      <c r="H6" s="266" t="s">
        <v>41</v>
      </c>
      <c r="I6" s="266" t="s">
        <v>42</v>
      </c>
      <c r="J6" s="266" t="s">
        <v>43</v>
      </c>
      <c r="K6" s="266" t="s">
        <v>44</v>
      </c>
      <c r="L6" s="267"/>
    </row>
    <row r="7" spans="2:17" ht="35.1" customHeight="1">
      <c r="B7" s="264"/>
      <c r="C7" s="322" t="s">
        <v>79</v>
      </c>
      <c r="D7" s="271"/>
      <c r="E7" s="271"/>
      <c r="F7" s="271"/>
      <c r="G7" s="271"/>
      <c r="H7" s="268" t="s">
        <v>80</v>
      </c>
      <c r="I7" s="268" t="s">
        <v>405</v>
      </c>
      <c r="J7" s="269" t="s">
        <v>45</v>
      </c>
      <c r="K7" s="269" t="s">
        <v>364</v>
      </c>
      <c r="L7" s="267"/>
    </row>
    <row r="8" spans="2:17" ht="5.0999999999999996" customHeight="1">
      <c r="B8" s="270"/>
      <c r="C8" s="271"/>
      <c r="D8" s="271"/>
      <c r="E8" s="271"/>
      <c r="F8" s="271"/>
      <c r="G8" s="271"/>
      <c r="H8" s="271"/>
      <c r="I8" s="271"/>
      <c r="J8" s="272"/>
      <c r="K8" s="272"/>
      <c r="L8" s="273"/>
    </row>
    <row r="9" spans="2:17" ht="9.9499999999999993" customHeight="1">
      <c r="B9" s="274"/>
      <c r="C9" s="275"/>
      <c r="D9" s="275"/>
      <c r="E9" s="275"/>
      <c r="F9" s="275"/>
      <c r="G9" s="275"/>
      <c r="H9" s="275"/>
      <c r="I9" s="275"/>
      <c r="J9" s="276"/>
      <c r="K9" s="276"/>
      <c r="L9" s="274"/>
    </row>
    <row r="10" spans="2:17" ht="5.0999999999999996" customHeight="1">
      <c r="B10" s="260"/>
      <c r="C10" s="261"/>
      <c r="D10" s="262"/>
      <c r="E10" s="262"/>
      <c r="F10" s="262"/>
      <c r="G10" s="262"/>
      <c r="H10" s="262"/>
      <c r="I10" s="262"/>
      <c r="J10" s="262"/>
      <c r="K10" s="262"/>
      <c r="L10" s="263"/>
    </row>
    <row r="11" spans="2:17" s="279" customFormat="1" ht="21.95" customHeight="1">
      <c r="B11" s="277"/>
      <c r="C11" s="500" t="s">
        <v>46</v>
      </c>
      <c r="D11" s="490" t="s">
        <v>47</v>
      </c>
      <c r="E11" s="490" t="s">
        <v>48</v>
      </c>
      <c r="F11" s="490" t="s">
        <v>49</v>
      </c>
      <c r="G11" s="490" t="s">
        <v>50</v>
      </c>
      <c r="H11" s="490" t="s">
        <v>51</v>
      </c>
      <c r="I11" s="490"/>
      <c r="J11" s="490"/>
      <c r="K11" s="490" t="s">
        <v>52</v>
      </c>
      <c r="L11" s="278"/>
    </row>
    <row r="12" spans="2:17" s="279" customFormat="1" ht="21.95" customHeight="1">
      <c r="B12" s="277"/>
      <c r="C12" s="500"/>
      <c r="D12" s="490"/>
      <c r="E12" s="490"/>
      <c r="F12" s="490"/>
      <c r="G12" s="490"/>
      <c r="H12" s="280" t="s">
        <v>53</v>
      </c>
      <c r="I12" s="280" t="s">
        <v>54</v>
      </c>
      <c r="J12" s="280" t="s">
        <v>55</v>
      </c>
      <c r="K12" s="490"/>
      <c r="L12" s="278"/>
      <c r="O12" s="279" t="s">
        <v>81</v>
      </c>
      <c r="P12" s="279" t="s">
        <v>82</v>
      </c>
      <c r="Q12" s="279" t="s">
        <v>83</v>
      </c>
    </row>
    <row r="13" spans="2:17" ht="5.0999999999999996" customHeight="1">
      <c r="B13" s="264"/>
      <c r="C13" s="251"/>
      <c r="D13" s="252"/>
      <c r="E13" s="252"/>
      <c r="F13" s="252"/>
      <c r="G13" s="252"/>
      <c r="H13" s="252"/>
      <c r="I13" s="252"/>
      <c r="J13" s="252"/>
      <c r="K13" s="252"/>
      <c r="L13" s="267"/>
    </row>
    <row r="14" spans="2:17" ht="22.5">
      <c r="B14" s="264"/>
      <c r="C14" s="281" t="s">
        <v>56</v>
      </c>
      <c r="D14" s="282" t="s">
        <v>84</v>
      </c>
      <c r="E14" s="280" t="s">
        <v>85</v>
      </c>
      <c r="F14" s="287">
        <f>Q14</f>
        <v>8.7149999999999999</v>
      </c>
      <c r="G14" s="283">
        <v>50.59</v>
      </c>
      <c r="H14" s="283">
        <f>ROUND(F14*G14,2)</f>
        <v>440.89</v>
      </c>
      <c r="I14" s="283"/>
      <c r="J14" s="283"/>
      <c r="K14" s="284" t="s">
        <v>86</v>
      </c>
      <c r="L14" s="267"/>
      <c r="N14" s="285"/>
      <c r="O14" s="286">
        <v>8.3000000000000007</v>
      </c>
      <c r="P14" s="285">
        <v>1.05</v>
      </c>
      <c r="Q14" s="249">
        <f>P14*O14</f>
        <v>8.7149999999999999</v>
      </c>
    </row>
    <row r="15" spans="2:17" ht="11.25">
      <c r="B15" s="264"/>
      <c r="C15" s="281" t="s">
        <v>60</v>
      </c>
      <c r="D15" s="282" t="s">
        <v>113</v>
      </c>
      <c r="E15" s="280" t="s">
        <v>85</v>
      </c>
      <c r="F15" s="287">
        <v>0.78800000000000003</v>
      </c>
      <c r="G15" s="283">
        <f>G378</f>
        <v>40</v>
      </c>
      <c r="H15" s="283">
        <f>ROUND(F15*G15,2)</f>
        <v>31.52</v>
      </c>
      <c r="I15" s="283"/>
      <c r="J15" s="283"/>
      <c r="K15" s="284" t="s">
        <v>373</v>
      </c>
      <c r="L15" s="267"/>
      <c r="N15" s="285"/>
      <c r="P15" s="285"/>
    </row>
    <row r="16" spans="2:17" ht="11.25">
      <c r="B16" s="264"/>
      <c r="C16" s="281" t="s">
        <v>61</v>
      </c>
      <c r="D16" s="282" t="s">
        <v>87</v>
      </c>
      <c r="E16" s="280" t="s">
        <v>85</v>
      </c>
      <c r="F16" s="287">
        <v>7.9279999999999999</v>
      </c>
      <c r="G16" s="283">
        <v>10.48</v>
      </c>
      <c r="H16" s="283">
        <f>ROUND(F16*G16,2)</f>
        <v>83.09</v>
      </c>
      <c r="I16" s="283"/>
      <c r="J16" s="283"/>
      <c r="K16" s="284" t="s">
        <v>88</v>
      </c>
      <c r="L16" s="267"/>
      <c r="N16" s="285"/>
      <c r="O16" s="286">
        <f>P14*0.25*3</f>
        <v>0.78800000000000003</v>
      </c>
      <c r="P16" s="285"/>
    </row>
    <row r="17" spans="2:16" ht="11.25">
      <c r="B17" s="264"/>
      <c r="C17" s="281"/>
      <c r="D17" s="282"/>
      <c r="E17" s="280"/>
      <c r="F17" s="287"/>
      <c r="G17" s="283"/>
      <c r="H17" s="283"/>
      <c r="I17" s="283"/>
      <c r="J17" s="283"/>
      <c r="K17" s="284"/>
      <c r="L17" s="267"/>
      <c r="N17" s="285"/>
      <c r="O17" s="286"/>
      <c r="P17" s="285"/>
    </row>
    <row r="18" spans="2:16" ht="11.25">
      <c r="B18" s="264"/>
      <c r="C18" s="281"/>
      <c r="D18" s="282"/>
      <c r="E18" s="280"/>
      <c r="F18" s="287"/>
      <c r="G18" s="283"/>
      <c r="H18" s="283"/>
      <c r="I18" s="283"/>
      <c r="J18" s="283"/>
      <c r="K18" s="284"/>
      <c r="L18" s="267"/>
      <c r="N18" s="285"/>
      <c r="O18" s="286"/>
      <c r="P18" s="285"/>
    </row>
    <row r="19" spans="2:16" ht="11.25">
      <c r="B19" s="264"/>
      <c r="C19" s="281"/>
      <c r="D19" s="282"/>
      <c r="E19" s="280"/>
      <c r="F19" s="287"/>
      <c r="G19" s="283"/>
      <c r="H19" s="283"/>
      <c r="I19" s="283"/>
      <c r="J19" s="283"/>
      <c r="K19" s="284"/>
      <c r="L19" s="267"/>
      <c r="N19" s="285"/>
      <c r="O19" s="286"/>
      <c r="P19" s="285"/>
    </row>
    <row r="20" spans="2:16" ht="11.25">
      <c r="B20" s="264"/>
      <c r="C20" s="281"/>
      <c r="D20" s="282"/>
      <c r="E20" s="280"/>
      <c r="F20" s="287"/>
      <c r="G20" s="283"/>
      <c r="H20" s="283"/>
      <c r="I20" s="283"/>
      <c r="J20" s="283"/>
      <c r="K20" s="284"/>
      <c r="L20" s="267"/>
      <c r="N20" s="285"/>
      <c r="O20" s="286"/>
      <c r="P20" s="285"/>
    </row>
    <row r="21" spans="2:16" ht="11.25">
      <c r="B21" s="264"/>
      <c r="C21" s="281"/>
      <c r="D21" s="282"/>
      <c r="E21" s="280"/>
      <c r="F21" s="287"/>
      <c r="G21" s="283"/>
      <c r="H21" s="283"/>
      <c r="I21" s="283"/>
      <c r="J21" s="283"/>
      <c r="K21" s="284"/>
      <c r="L21" s="267"/>
      <c r="N21" s="285"/>
      <c r="O21" s="286"/>
      <c r="P21" s="285"/>
    </row>
    <row r="22" spans="2:16" ht="11.25">
      <c r="B22" s="264"/>
      <c r="C22" s="281"/>
      <c r="D22" s="282"/>
      <c r="E22" s="280"/>
      <c r="F22" s="287"/>
      <c r="G22" s="283"/>
      <c r="H22" s="283"/>
      <c r="I22" s="283"/>
      <c r="J22" s="283"/>
      <c r="K22" s="284"/>
      <c r="L22" s="267"/>
      <c r="N22" s="285"/>
      <c r="O22" s="286"/>
      <c r="P22" s="285"/>
    </row>
    <row r="23" spans="2:16" ht="11.25">
      <c r="B23" s="264"/>
      <c r="C23" s="281"/>
      <c r="D23" s="282"/>
      <c r="E23" s="280"/>
      <c r="F23" s="287"/>
      <c r="G23" s="283"/>
      <c r="H23" s="283"/>
      <c r="I23" s="283"/>
      <c r="J23" s="283"/>
      <c r="K23" s="284"/>
      <c r="L23" s="267"/>
      <c r="N23" s="285"/>
      <c r="O23" s="286"/>
      <c r="P23" s="285"/>
    </row>
    <row r="24" spans="2:16" ht="11.25">
      <c r="B24" s="264"/>
      <c r="C24" s="281"/>
      <c r="D24" s="282"/>
      <c r="E24" s="280"/>
      <c r="F24" s="287"/>
      <c r="G24" s="283"/>
      <c r="H24" s="283"/>
      <c r="I24" s="283"/>
      <c r="J24" s="283"/>
      <c r="K24" s="284"/>
      <c r="L24" s="267"/>
      <c r="N24" s="285"/>
      <c r="O24" s="286"/>
      <c r="P24" s="285"/>
    </row>
    <row r="25" spans="2:16" ht="11.25">
      <c r="B25" s="264"/>
      <c r="C25" s="281"/>
      <c r="D25" s="282"/>
      <c r="E25" s="280"/>
      <c r="F25" s="287"/>
      <c r="G25" s="283"/>
      <c r="H25" s="283"/>
      <c r="I25" s="283"/>
      <c r="J25" s="283"/>
      <c r="K25" s="284"/>
      <c r="L25" s="267"/>
      <c r="N25" s="285"/>
      <c r="O25" s="286"/>
      <c r="P25" s="285"/>
    </row>
    <row r="26" spans="2:16" ht="11.25">
      <c r="B26" s="264"/>
      <c r="C26" s="281"/>
      <c r="D26" s="282"/>
      <c r="E26" s="280"/>
      <c r="F26" s="287"/>
      <c r="G26" s="283"/>
      <c r="H26" s="283"/>
      <c r="I26" s="283"/>
      <c r="J26" s="283"/>
      <c r="K26" s="284"/>
      <c r="L26" s="267"/>
      <c r="N26" s="285"/>
      <c r="O26" s="286"/>
      <c r="P26" s="285"/>
    </row>
    <row r="27" spans="2:16" ht="11.25">
      <c r="B27" s="264"/>
      <c r="C27" s="281"/>
      <c r="D27" s="282"/>
      <c r="E27" s="280"/>
      <c r="F27" s="287"/>
      <c r="G27" s="283"/>
      <c r="H27" s="283"/>
      <c r="I27" s="283"/>
      <c r="J27" s="283"/>
      <c r="K27" s="284"/>
      <c r="L27" s="267"/>
      <c r="N27" s="285"/>
      <c r="O27" s="286"/>
      <c r="P27" s="285"/>
    </row>
    <row r="28" spans="2:16" ht="11.25">
      <c r="B28" s="264"/>
      <c r="C28" s="281"/>
      <c r="D28" s="282"/>
      <c r="E28" s="280"/>
      <c r="F28" s="287"/>
      <c r="G28" s="283"/>
      <c r="H28" s="283"/>
      <c r="I28" s="283"/>
      <c r="J28" s="283"/>
      <c r="K28" s="284"/>
      <c r="L28" s="267"/>
      <c r="N28" s="285"/>
      <c r="O28" s="286"/>
      <c r="P28" s="285"/>
    </row>
    <row r="29" spans="2:16" ht="11.25">
      <c r="B29" s="264"/>
      <c r="C29" s="281"/>
      <c r="D29" s="282"/>
      <c r="E29" s="280"/>
      <c r="F29" s="287"/>
      <c r="G29" s="283"/>
      <c r="H29" s="283"/>
      <c r="I29" s="283"/>
      <c r="J29" s="283"/>
      <c r="K29" s="284"/>
      <c r="L29" s="267"/>
      <c r="N29" s="285"/>
      <c r="O29" s="286"/>
      <c r="P29" s="285"/>
    </row>
    <row r="30" spans="2:16" ht="11.25">
      <c r="B30" s="264"/>
      <c r="C30" s="281"/>
      <c r="D30" s="282"/>
      <c r="E30" s="280"/>
      <c r="F30" s="287"/>
      <c r="G30" s="283"/>
      <c r="H30" s="283"/>
      <c r="I30" s="283"/>
      <c r="J30" s="283"/>
      <c r="K30" s="284"/>
      <c r="L30" s="267"/>
      <c r="N30" s="285"/>
      <c r="O30" s="286"/>
      <c r="P30" s="285"/>
    </row>
    <row r="31" spans="2:16" ht="11.25">
      <c r="B31" s="264"/>
      <c r="C31" s="281"/>
      <c r="D31" s="282"/>
      <c r="E31" s="280"/>
      <c r="F31" s="287"/>
      <c r="G31" s="283"/>
      <c r="H31" s="283"/>
      <c r="I31" s="283"/>
      <c r="J31" s="283"/>
      <c r="K31" s="284"/>
      <c r="L31" s="267"/>
      <c r="N31" s="285"/>
      <c r="O31" s="286"/>
      <c r="P31" s="285"/>
    </row>
    <row r="32" spans="2:16" ht="11.25">
      <c r="B32" s="264"/>
      <c r="C32" s="281"/>
      <c r="D32" s="282"/>
      <c r="E32" s="280"/>
      <c r="F32" s="287"/>
      <c r="G32" s="283"/>
      <c r="H32" s="283"/>
      <c r="I32" s="283"/>
      <c r="J32" s="283"/>
      <c r="K32" s="284"/>
      <c r="L32" s="267"/>
      <c r="N32" s="285"/>
      <c r="O32" s="286"/>
      <c r="P32" s="285"/>
    </row>
    <row r="33" spans="2:16" ht="11.25">
      <c r="B33" s="264"/>
      <c r="C33" s="281"/>
      <c r="D33" s="282"/>
      <c r="E33" s="280"/>
      <c r="F33" s="287"/>
      <c r="G33" s="283"/>
      <c r="H33" s="283"/>
      <c r="I33" s="283"/>
      <c r="J33" s="283"/>
      <c r="K33" s="284"/>
      <c r="L33" s="267"/>
      <c r="N33" s="285"/>
      <c r="O33" s="286"/>
      <c r="P33" s="285"/>
    </row>
    <row r="34" spans="2:16" ht="11.25">
      <c r="B34" s="264"/>
      <c r="C34" s="281"/>
      <c r="D34" s="282"/>
      <c r="E34" s="280"/>
      <c r="F34" s="287"/>
      <c r="G34" s="283"/>
      <c r="H34" s="283"/>
      <c r="I34" s="283"/>
      <c r="J34" s="283"/>
      <c r="K34" s="284"/>
      <c r="L34" s="267"/>
      <c r="N34" s="285"/>
      <c r="O34" s="286"/>
      <c r="P34" s="285"/>
    </row>
    <row r="35" spans="2:16" ht="11.25">
      <c r="B35" s="264"/>
      <c r="C35" s="281"/>
      <c r="D35" s="282"/>
      <c r="E35" s="280"/>
      <c r="F35" s="287"/>
      <c r="G35" s="283"/>
      <c r="H35" s="283"/>
      <c r="I35" s="283"/>
      <c r="J35" s="283"/>
      <c r="K35" s="284"/>
      <c r="L35" s="267"/>
      <c r="N35" s="285"/>
      <c r="O35" s="286"/>
      <c r="P35" s="285"/>
    </row>
    <row r="36" spans="2:16" ht="11.25">
      <c r="B36" s="264"/>
      <c r="C36" s="281"/>
      <c r="D36" s="282"/>
      <c r="E36" s="280"/>
      <c r="F36" s="287"/>
      <c r="G36" s="283"/>
      <c r="H36" s="283"/>
      <c r="I36" s="283"/>
      <c r="J36" s="283"/>
      <c r="K36" s="284"/>
      <c r="L36" s="267"/>
      <c r="N36" s="285"/>
      <c r="O36" s="286"/>
      <c r="P36" s="285"/>
    </row>
    <row r="37" spans="2:16" ht="11.25">
      <c r="B37" s="264"/>
      <c r="C37" s="281"/>
      <c r="D37" s="282"/>
      <c r="E37" s="280"/>
      <c r="F37" s="287"/>
      <c r="G37" s="283"/>
      <c r="H37" s="283"/>
      <c r="I37" s="283"/>
      <c r="J37" s="283"/>
      <c r="K37" s="284"/>
      <c r="L37" s="267"/>
      <c r="N37" s="285"/>
      <c r="O37" s="286"/>
      <c r="P37" s="285"/>
    </row>
    <row r="38" spans="2:16" ht="11.25">
      <c r="B38" s="264"/>
      <c r="C38" s="281"/>
      <c r="D38" s="282"/>
      <c r="E38" s="280"/>
      <c r="F38" s="287"/>
      <c r="G38" s="283"/>
      <c r="H38" s="283"/>
      <c r="I38" s="283"/>
      <c r="J38" s="283"/>
      <c r="K38" s="284"/>
      <c r="L38" s="267"/>
      <c r="N38" s="285"/>
      <c r="O38" s="286"/>
      <c r="P38" s="285"/>
    </row>
    <row r="39" spans="2:16" ht="11.25">
      <c r="B39" s="264"/>
      <c r="C39" s="281"/>
      <c r="D39" s="282"/>
      <c r="E39" s="280"/>
      <c r="F39" s="287"/>
      <c r="G39" s="283"/>
      <c r="H39" s="283"/>
      <c r="I39" s="283"/>
      <c r="J39" s="283"/>
      <c r="K39" s="284"/>
      <c r="L39" s="267"/>
      <c r="N39" s="285"/>
      <c r="O39" s="286"/>
      <c r="P39" s="285"/>
    </row>
    <row r="40" spans="2:16" ht="11.25">
      <c r="B40" s="264"/>
      <c r="C40" s="281"/>
      <c r="D40" s="282"/>
      <c r="E40" s="280"/>
      <c r="F40" s="287"/>
      <c r="G40" s="283"/>
      <c r="H40" s="283"/>
      <c r="I40" s="283"/>
      <c r="J40" s="283"/>
      <c r="K40" s="284"/>
      <c r="L40" s="267"/>
      <c r="N40" s="285"/>
      <c r="O40" s="286"/>
      <c r="P40" s="285"/>
    </row>
    <row r="41" spans="2:16" ht="11.25">
      <c r="B41" s="264"/>
      <c r="C41" s="281"/>
      <c r="D41" s="282"/>
      <c r="E41" s="280"/>
      <c r="F41" s="287"/>
      <c r="G41" s="283"/>
      <c r="H41" s="283"/>
      <c r="I41" s="283"/>
      <c r="J41" s="283"/>
      <c r="K41" s="284"/>
      <c r="L41" s="267"/>
      <c r="N41" s="285"/>
      <c r="O41" s="286"/>
      <c r="P41" s="285"/>
    </row>
    <row r="42" spans="2:16" ht="11.25">
      <c r="B42" s="264"/>
      <c r="C42" s="281"/>
      <c r="D42" s="282"/>
      <c r="E42" s="280"/>
      <c r="F42" s="287"/>
      <c r="G42" s="283"/>
      <c r="H42" s="283"/>
      <c r="I42" s="283"/>
      <c r="J42" s="283"/>
      <c r="K42" s="284"/>
      <c r="L42" s="267"/>
      <c r="N42" s="285"/>
      <c r="O42" s="286"/>
      <c r="P42" s="285"/>
    </row>
    <row r="43" spans="2:16" ht="11.25">
      <c r="B43" s="264"/>
      <c r="C43" s="281"/>
      <c r="D43" s="282"/>
      <c r="E43" s="280"/>
      <c r="F43" s="287"/>
      <c r="G43" s="283"/>
      <c r="H43" s="283"/>
      <c r="I43" s="283"/>
      <c r="J43" s="283"/>
      <c r="K43" s="284"/>
      <c r="L43" s="267"/>
      <c r="N43" s="285"/>
      <c r="O43" s="286"/>
      <c r="P43" s="285"/>
    </row>
    <row r="44" spans="2:16" ht="11.25">
      <c r="B44" s="264"/>
      <c r="C44" s="281"/>
      <c r="D44" s="282"/>
      <c r="E44" s="280"/>
      <c r="F44" s="287"/>
      <c r="G44" s="283"/>
      <c r="H44" s="283"/>
      <c r="I44" s="283"/>
      <c r="J44" s="283"/>
      <c r="K44" s="284"/>
      <c r="L44" s="267"/>
      <c r="N44" s="285"/>
      <c r="O44" s="286"/>
      <c r="P44" s="285"/>
    </row>
    <row r="45" spans="2:16" ht="11.25">
      <c r="B45" s="264"/>
      <c r="C45" s="281"/>
      <c r="D45" s="282"/>
      <c r="E45" s="280"/>
      <c r="F45" s="287"/>
      <c r="G45" s="283"/>
      <c r="H45" s="283"/>
      <c r="I45" s="283"/>
      <c r="J45" s="283"/>
      <c r="K45" s="284"/>
      <c r="L45" s="267"/>
      <c r="N45" s="285"/>
      <c r="O45" s="286"/>
      <c r="P45" s="285"/>
    </row>
    <row r="46" spans="2:16" ht="11.25">
      <c r="B46" s="264"/>
      <c r="C46" s="281"/>
      <c r="D46" s="282"/>
      <c r="E46" s="280"/>
      <c r="F46" s="287"/>
      <c r="G46" s="283"/>
      <c r="H46" s="283"/>
      <c r="I46" s="283"/>
      <c r="J46" s="283"/>
      <c r="K46" s="284"/>
      <c r="L46" s="267"/>
      <c r="N46" s="285"/>
      <c r="O46" s="286"/>
      <c r="P46" s="285"/>
    </row>
    <row r="47" spans="2:16" ht="11.25">
      <c r="B47" s="264"/>
      <c r="C47" s="281"/>
      <c r="D47" s="282"/>
      <c r="E47" s="280"/>
      <c r="F47" s="287"/>
      <c r="G47" s="283"/>
      <c r="H47" s="283"/>
      <c r="I47" s="283"/>
      <c r="J47" s="283"/>
      <c r="K47" s="284"/>
      <c r="L47" s="267"/>
      <c r="N47" s="285"/>
      <c r="O47" s="286"/>
      <c r="P47" s="285"/>
    </row>
    <row r="48" spans="2:16" ht="11.25">
      <c r="B48" s="264"/>
      <c r="C48" s="281"/>
      <c r="D48" s="282"/>
      <c r="E48" s="280"/>
      <c r="F48" s="287"/>
      <c r="G48" s="283"/>
      <c r="H48" s="283"/>
      <c r="I48" s="283"/>
      <c r="J48" s="283"/>
      <c r="K48" s="284"/>
      <c r="L48" s="267"/>
      <c r="N48" s="285"/>
      <c r="O48" s="286"/>
      <c r="P48" s="285"/>
    </row>
    <row r="49" spans="2:16" ht="11.25">
      <c r="B49" s="264"/>
      <c r="C49" s="281"/>
      <c r="D49" s="282"/>
      <c r="E49" s="280"/>
      <c r="F49" s="287"/>
      <c r="G49" s="283"/>
      <c r="H49" s="283"/>
      <c r="I49" s="283"/>
      <c r="J49" s="283"/>
      <c r="K49" s="284"/>
      <c r="L49" s="267"/>
      <c r="N49" s="285"/>
      <c r="O49" s="286"/>
      <c r="P49" s="285"/>
    </row>
    <row r="50" spans="2:16" ht="11.25">
      <c r="B50" s="264"/>
      <c r="C50" s="281"/>
      <c r="D50" s="282"/>
      <c r="E50" s="280"/>
      <c r="F50" s="287"/>
      <c r="G50" s="283"/>
      <c r="H50" s="283"/>
      <c r="I50" s="283"/>
      <c r="J50" s="283"/>
      <c r="K50" s="284"/>
      <c r="L50" s="267"/>
      <c r="N50" s="285"/>
      <c r="O50" s="286"/>
      <c r="P50" s="285"/>
    </row>
    <row r="51" spans="2:16" ht="11.25">
      <c r="B51" s="264"/>
      <c r="C51" s="281"/>
      <c r="D51" s="282"/>
      <c r="E51" s="280"/>
      <c r="F51" s="287"/>
      <c r="G51" s="283"/>
      <c r="H51" s="283"/>
      <c r="I51" s="283"/>
      <c r="J51" s="283"/>
      <c r="K51" s="284"/>
      <c r="L51" s="267"/>
      <c r="N51" s="285"/>
      <c r="O51" s="286"/>
      <c r="P51" s="285"/>
    </row>
    <row r="52" spans="2:16" ht="11.25">
      <c r="B52" s="264"/>
      <c r="C52" s="281"/>
      <c r="D52" s="282"/>
      <c r="E52" s="280"/>
      <c r="F52" s="287"/>
      <c r="G52" s="283"/>
      <c r="H52" s="283"/>
      <c r="I52" s="283"/>
      <c r="J52" s="283"/>
      <c r="K52" s="284"/>
      <c r="L52" s="267"/>
      <c r="N52" s="285"/>
      <c r="O52" s="286"/>
      <c r="P52" s="285"/>
    </row>
    <row r="53" spans="2:16" ht="11.25">
      <c r="B53" s="264"/>
      <c r="C53" s="281"/>
      <c r="D53" s="282"/>
      <c r="E53" s="280"/>
      <c r="F53" s="287"/>
      <c r="G53" s="283"/>
      <c r="H53" s="283"/>
      <c r="I53" s="283"/>
      <c r="J53" s="283"/>
      <c r="K53" s="284"/>
      <c r="L53" s="267"/>
      <c r="N53" s="285"/>
      <c r="O53" s="286"/>
      <c r="P53" s="285"/>
    </row>
    <row r="54" spans="2:16" ht="11.25">
      <c r="B54" s="264"/>
      <c r="C54" s="281"/>
      <c r="D54" s="282"/>
      <c r="E54" s="280"/>
      <c r="F54" s="287"/>
      <c r="G54" s="283"/>
      <c r="H54" s="283"/>
      <c r="I54" s="283"/>
      <c r="J54" s="283"/>
      <c r="K54" s="284"/>
      <c r="L54" s="267"/>
      <c r="N54" s="285"/>
      <c r="O54" s="286"/>
      <c r="P54" s="285"/>
    </row>
    <row r="55" spans="2:16" ht="11.25">
      <c r="B55" s="264"/>
      <c r="C55" s="281"/>
      <c r="D55" s="282"/>
      <c r="E55" s="280"/>
      <c r="F55" s="287"/>
      <c r="G55" s="283"/>
      <c r="H55" s="283"/>
      <c r="I55" s="283"/>
      <c r="J55" s="283"/>
      <c r="K55" s="284"/>
      <c r="L55" s="267"/>
      <c r="N55" s="285"/>
      <c r="O55" s="286"/>
      <c r="P55" s="285"/>
    </row>
    <row r="56" spans="2:16" ht="11.25">
      <c r="B56" s="264"/>
      <c r="C56" s="281"/>
      <c r="D56" s="282"/>
      <c r="E56" s="280"/>
      <c r="F56" s="287"/>
      <c r="G56" s="283"/>
      <c r="H56" s="283"/>
      <c r="I56" s="283"/>
      <c r="J56" s="283"/>
      <c r="K56" s="284"/>
      <c r="L56" s="267"/>
      <c r="N56" s="285"/>
      <c r="O56" s="286"/>
      <c r="P56" s="285"/>
    </row>
    <row r="57" spans="2:16" ht="11.25">
      <c r="B57" s="264"/>
      <c r="C57" s="281"/>
      <c r="D57" s="282"/>
      <c r="E57" s="280"/>
      <c r="F57" s="287"/>
      <c r="G57" s="283"/>
      <c r="H57" s="283"/>
      <c r="I57" s="283"/>
      <c r="J57" s="283"/>
      <c r="K57" s="284"/>
      <c r="L57" s="267"/>
      <c r="N57" s="285"/>
      <c r="O57" s="286"/>
      <c r="P57" s="285"/>
    </row>
    <row r="58" spans="2:16" ht="11.25">
      <c r="B58" s="264"/>
      <c r="C58" s="281"/>
      <c r="D58" s="282"/>
      <c r="E58" s="280"/>
      <c r="F58" s="287"/>
      <c r="G58" s="283"/>
      <c r="H58" s="283"/>
      <c r="I58" s="283"/>
      <c r="J58" s="283"/>
      <c r="K58" s="284"/>
      <c r="L58" s="267"/>
      <c r="N58" s="285"/>
      <c r="O58" s="286"/>
      <c r="P58" s="285"/>
    </row>
    <row r="59" spans="2:16" ht="11.25">
      <c r="B59" s="264"/>
      <c r="C59" s="281"/>
      <c r="D59" s="282"/>
      <c r="E59" s="280"/>
      <c r="F59" s="287"/>
      <c r="G59" s="283"/>
      <c r="H59" s="283"/>
      <c r="I59" s="283"/>
      <c r="J59" s="283"/>
      <c r="K59" s="284"/>
      <c r="L59" s="267"/>
      <c r="N59" s="285"/>
      <c r="O59" s="286"/>
      <c r="P59" s="285"/>
    </row>
    <row r="60" spans="2:16" ht="11.25">
      <c r="B60" s="264"/>
      <c r="C60" s="281"/>
      <c r="D60" s="282"/>
      <c r="E60" s="280"/>
      <c r="F60" s="287"/>
      <c r="G60" s="283"/>
      <c r="H60" s="283"/>
      <c r="I60" s="283"/>
      <c r="J60" s="283"/>
      <c r="K60" s="284"/>
      <c r="L60" s="267"/>
      <c r="N60" s="285"/>
      <c r="O60" s="286"/>
      <c r="P60" s="285"/>
    </row>
    <row r="61" spans="2:16" ht="11.25">
      <c r="B61" s="264"/>
      <c r="C61" s="281"/>
      <c r="D61" s="282"/>
      <c r="E61" s="280"/>
      <c r="F61" s="287"/>
      <c r="G61" s="283"/>
      <c r="H61" s="283"/>
      <c r="I61" s="283"/>
      <c r="J61" s="283"/>
      <c r="K61" s="284"/>
      <c r="L61" s="267"/>
      <c r="N61" s="285"/>
      <c r="O61" s="286"/>
      <c r="P61" s="285"/>
    </row>
    <row r="62" spans="2:16" ht="11.25">
      <c r="B62" s="264"/>
      <c r="C62" s="281"/>
      <c r="D62" s="282"/>
      <c r="E62" s="280"/>
      <c r="F62" s="287"/>
      <c r="G62" s="283"/>
      <c r="H62" s="283"/>
      <c r="I62" s="283"/>
      <c r="J62" s="283"/>
      <c r="K62" s="284"/>
      <c r="L62" s="267"/>
      <c r="N62" s="285"/>
      <c r="O62" s="286"/>
      <c r="P62" s="285"/>
    </row>
    <row r="63" spans="2:16" ht="11.25">
      <c r="B63" s="264"/>
      <c r="C63" s="281"/>
      <c r="D63" s="282"/>
      <c r="E63" s="280"/>
      <c r="F63" s="287"/>
      <c r="G63" s="283"/>
      <c r="H63" s="283"/>
      <c r="I63" s="283"/>
      <c r="J63" s="283"/>
      <c r="K63" s="284"/>
      <c r="L63" s="267"/>
      <c r="N63" s="285"/>
      <c r="O63" s="286"/>
      <c r="P63" s="285"/>
    </row>
    <row r="64" spans="2:16" ht="11.25">
      <c r="B64" s="264"/>
      <c r="C64" s="281"/>
      <c r="D64" s="294" t="s">
        <v>67</v>
      </c>
      <c r="E64" s="295"/>
      <c r="F64" s="296"/>
      <c r="G64" s="297"/>
      <c r="H64" s="283">
        <f>ROUND(SUM(H14:H63),2)</f>
        <v>555.5</v>
      </c>
      <c r="I64" s="283">
        <f>ROUND(SUM(I14:I63),2)</f>
        <v>0</v>
      </c>
      <c r="J64" s="283">
        <f>ROUND(SUM(J14:J63),2)</f>
        <v>0</v>
      </c>
      <c r="K64" s="283">
        <f>SUM(H64:J64)</f>
        <v>555.5</v>
      </c>
      <c r="L64" s="267"/>
    </row>
    <row r="65" spans="2:17" ht="11.25">
      <c r="B65" s="264"/>
      <c r="C65" s="281"/>
      <c r="D65" s="288" t="s">
        <v>68</v>
      </c>
      <c r="E65" s="280" t="s">
        <v>69</v>
      </c>
      <c r="F65" s="283">
        <v>0</v>
      </c>
      <c r="G65" s="283">
        <f>J64</f>
        <v>0</v>
      </c>
      <c r="H65" s="298"/>
      <c r="I65" s="299"/>
      <c r="J65" s="300">
        <f>ROUND(F65*G65/100,2)</f>
        <v>0</v>
      </c>
      <c r="K65" s="301"/>
      <c r="L65" s="267"/>
    </row>
    <row r="66" spans="2:17" ht="11.25">
      <c r="B66" s="264"/>
      <c r="C66" s="281"/>
      <c r="D66" s="288" t="s">
        <v>70</v>
      </c>
      <c r="E66" s="280" t="s">
        <v>69</v>
      </c>
      <c r="F66" s="283">
        <v>0</v>
      </c>
      <c r="G66" s="283">
        <f>I64</f>
        <v>0</v>
      </c>
      <c r="H66" s="301"/>
      <c r="I66" s="283">
        <f>ROUND(F66*G66/100,2)</f>
        <v>0</v>
      </c>
      <c r="J66" s="298"/>
      <c r="K66" s="299"/>
      <c r="L66" s="267"/>
    </row>
    <row r="67" spans="2:17" ht="11.25">
      <c r="B67" s="264"/>
      <c r="C67" s="281"/>
      <c r="D67" s="288" t="s">
        <v>71</v>
      </c>
      <c r="E67" s="280" t="s">
        <v>69</v>
      </c>
      <c r="F67" s="283">
        <v>0</v>
      </c>
      <c r="G67" s="283">
        <f>H64</f>
        <v>555.5</v>
      </c>
      <c r="H67" s="283">
        <f>ROUND(F67/100*G67,2)</f>
        <v>0</v>
      </c>
      <c r="I67" s="298"/>
      <c r="J67" s="302"/>
      <c r="K67" s="299"/>
      <c r="L67" s="267"/>
    </row>
    <row r="68" spans="2:17" ht="11.25">
      <c r="B68" s="264"/>
      <c r="C68" s="281"/>
      <c r="D68" s="294" t="s">
        <v>72</v>
      </c>
      <c r="E68" s="295"/>
      <c r="F68" s="296"/>
      <c r="G68" s="297"/>
      <c r="H68" s="283">
        <f>SUM(H64,H67)</f>
        <v>555.5</v>
      </c>
      <c r="I68" s="283">
        <f>SUM(I64,I66)</f>
        <v>0</v>
      </c>
      <c r="J68" s="283">
        <f>SUM(J64:J65)</f>
        <v>0</v>
      </c>
      <c r="K68" s="283">
        <f>SUM(H68:J68)</f>
        <v>555.5</v>
      </c>
      <c r="L68" s="267"/>
    </row>
    <row r="69" spans="2:17" ht="18">
      <c r="B69" s="264"/>
      <c r="C69" s="281"/>
      <c r="D69" s="288" t="s">
        <v>73</v>
      </c>
      <c r="E69" s="280" t="s">
        <v>69</v>
      </c>
      <c r="F69" s="283"/>
      <c r="G69" s="283">
        <f>SUM(K68)</f>
        <v>555.5</v>
      </c>
      <c r="H69" s="298"/>
      <c r="I69" s="302"/>
      <c r="J69" s="299"/>
      <c r="K69" s="283">
        <f>ROUND(F69*G69/100,2)</f>
        <v>0</v>
      </c>
      <c r="L69" s="267"/>
      <c r="M69" s="303"/>
    </row>
    <row r="70" spans="2:17" ht="11.25">
      <c r="B70" s="264"/>
      <c r="C70" s="281"/>
      <c r="D70" s="294" t="s">
        <v>74</v>
      </c>
      <c r="E70" s="304"/>
      <c r="F70" s="304"/>
      <c r="G70" s="304"/>
      <c r="H70" s="304"/>
      <c r="I70" s="304"/>
      <c r="J70" s="305"/>
      <c r="K70" s="283">
        <f>SUM(K68:K69)</f>
        <v>555.5</v>
      </c>
      <c r="L70" s="267"/>
    </row>
    <row r="71" spans="2:17" ht="11.25">
      <c r="B71" s="264"/>
      <c r="C71" s="281"/>
      <c r="D71" s="294" t="s">
        <v>75</v>
      </c>
      <c r="E71" s="305"/>
      <c r="F71" s="283">
        <v>1</v>
      </c>
      <c r="G71" s="283">
        <f>K70</f>
        <v>555.5</v>
      </c>
      <c r="H71" s="298"/>
      <c r="I71" s="302"/>
      <c r="J71" s="299"/>
      <c r="K71" s="283">
        <f>ROUND(G71/F71,2)</f>
        <v>555.5</v>
      </c>
      <c r="L71" s="267"/>
    </row>
    <row r="72" spans="2:17" ht="11.25">
      <c r="B72" s="264"/>
      <c r="C72" s="281"/>
      <c r="D72" s="306" t="s">
        <v>76</v>
      </c>
      <c r="E72" s="307"/>
      <c r="F72" s="307"/>
      <c r="G72" s="307"/>
      <c r="H72" s="307"/>
      <c r="I72" s="307"/>
      <c r="J72" s="308"/>
      <c r="K72" s="309">
        <f>K71</f>
        <v>555.5</v>
      </c>
      <c r="L72" s="267"/>
      <c r="N72" s="310"/>
      <c r="O72" s="310"/>
      <c r="P72" s="310"/>
    </row>
    <row r="73" spans="2:17" ht="11.25">
      <c r="B73" s="270"/>
      <c r="C73" s="311"/>
      <c r="D73" s="312"/>
      <c r="E73" s="312"/>
      <c r="F73" s="312"/>
      <c r="G73" s="312"/>
      <c r="H73" s="312"/>
      <c r="I73" s="312"/>
      <c r="J73" s="312"/>
      <c r="K73" s="312"/>
      <c r="L73" s="273"/>
    </row>
    <row r="74" spans="2:17" ht="11.25">
      <c r="B74" s="260"/>
      <c r="C74" s="313"/>
      <c r="D74" s="265"/>
      <c r="E74" s="265"/>
      <c r="F74" s="265"/>
      <c r="G74" s="265"/>
      <c r="H74" s="265"/>
      <c r="I74" s="265"/>
      <c r="J74" s="265"/>
      <c r="K74" s="265"/>
      <c r="L74" s="263"/>
    </row>
    <row r="75" spans="2:17" ht="11.25">
      <c r="B75" s="264"/>
      <c r="C75" s="314" t="s">
        <v>56</v>
      </c>
      <c r="D75" s="315" t="s">
        <v>77</v>
      </c>
      <c r="E75" s="265"/>
      <c r="F75" s="265"/>
      <c r="G75" s="265"/>
      <c r="H75" s="265"/>
      <c r="I75" s="265"/>
      <c r="J75" s="265"/>
      <c r="K75" s="316"/>
      <c r="L75" s="267"/>
    </row>
    <row r="76" spans="2:17" ht="11.25">
      <c r="B76" s="264"/>
      <c r="C76" s="317"/>
      <c r="D76" s="491" t="s">
        <v>89</v>
      </c>
      <c r="E76" s="491"/>
      <c r="F76" s="491"/>
      <c r="G76" s="491"/>
      <c r="H76" s="491"/>
      <c r="I76" s="491"/>
      <c r="J76" s="491"/>
      <c r="K76" s="492"/>
      <c r="L76" s="267"/>
    </row>
    <row r="77" spans="2:17" ht="11.25">
      <c r="B77" s="264"/>
      <c r="C77" s="318"/>
      <c r="D77" s="501"/>
      <c r="E77" s="501"/>
      <c r="F77" s="501"/>
      <c r="G77" s="501"/>
      <c r="H77" s="501"/>
      <c r="I77" s="501"/>
      <c r="J77" s="501"/>
      <c r="K77" s="502"/>
      <c r="L77" s="267"/>
      <c r="Q77" s="249">
        <f>8.715-0.7875</f>
        <v>7.9275000000000002</v>
      </c>
    </row>
    <row r="78" spans="2:17" ht="11.25">
      <c r="B78" s="264"/>
      <c r="C78" s="319"/>
      <c r="D78" s="290"/>
      <c r="E78" s="252"/>
      <c r="F78" s="252"/>
      <c r="G78" s="252"/>
      <c r="H78" s="252"/>
      <c r="I78" s="252"/>
      <c r="J78" s="252"/>
      <c r="K78" s="252"/>
      <c r="L78" s="267"/>
    </row>
    <row r="79" spans="2:17" ht="11.25">
      <c r="B79" s="264"/>
      <c r="C79" s="314" t="s">
        <v>60</v>
      </c>
      <c r="D79" s="315" t="s">
        <v>78</v>
      </c>
      <c r="E79" s="265"/>
      <c r="F79" s="265"/>
      <c r="G79" s="265"/>
      <c r="H79" s="265"/>
      <c r="I79" s="265"/>
      <c r="J79" s="265"/>
      <c r="K79" s="316"/>
      <c r="L79" s="267"/>
    </row>
    <row r="80" spans="2:17" ht="11.25">
      <c r="B80" s="264"/>
      <c r="C80" s="318"/>
      <c r="D80" s="320"/>
      <c r="E80" s="312"/>
      <c r="F80" s="312"/>
      <c r="G80" s="312"/>
      <c r="H80" s="312"/>
      <c r="I80" s="312"/>
      <c r="J80" s="312"/>
      <c r="K80" s="321"/>
      <c r="L80" s="267"/>
    </row>
    <row r="81" spans="2:16" ht="11.25">
      <c r="B81" s="270"/>
      <c r="C81" s="311"/>
      <c r="D81" s="320"/>
      <c r="E81" s="312"/>
      <c r="F81" s="312"/>
      <c r="G81" s="312"/>
      <c r="H81" s="312"/>
      <c r="I81" s="312"/>
      <c r="J81" s="312"/>
      <c r="K81" s="312"/>
      <c r="L81" s="273"/>
    </row>
    <row r="82" spans="2:16" ht="11.25">
      <c r="C82" s="251"/>
      <c r="D82" s="252"/>
      <c r="E82" s="252"/>
      <c r="F82" s="252"/>
      <c r="G82" s="252"/>
      <c r="H82" s="252"/>
      <c r="I82" s="252"/>
      <c r="J82" s="252"/>
      <c r="K82" s="252"/>
      <c r="N82" s="253"/>
      <c r="O82" s="253"/>
      <c r="P82" s="253"/>
    </row>
    <row r="83" spans="2:16" ht="11.25">
      <c r="B83" s="260"/>
      <c r="C83" s="313"/>
      <c r="D83" s="265"/>
      <c r="E83" s="265"/>
      <c r="F83" s="265"/>
      <c r="G83" s="265"/>
      <c r="H83" s="265"/>
      <c r="I83" s="265"/>
      <c r="J83" s="265"/>
      <c r="K83" s="265"/>
      <c r="L83" s="263"/>
    </row>
    <row r="84" spans="2:16" ht="11.25">
      <c r="B84" s="264"/>
      <c r="C84" s="314"/>
      <c r="D84" s="315" t="s">
        <v>90</v>
      </c>
      <c r="E84" s="265"/>
      <c r="F84" s="265"/>
      <c r="G84" s="265"/>
      <c r="H84" s="265"/>
      <c r="I84" s="265"/>
      <c r="J84" s="265"/>
      <c r="K84" s="316"/>
      <c r="L84" s="267"/>
    </row>
    <row r="85" spans="2:16" ht="11.25">
      <c r="B85" s="264"/>
      <c r="C85" s="317" t="s">
        <v>56</v>
      </c>
      <c r="D85" s="491" t="s">
        <v>91</v>
      </c>
      <c r="E85" s="491"/>
      <c r="F85" s="491"/>
      <c r="G85" s="491"/>
      <c r="H85" s="491"/>
      <c r="I85" s="491"/>
      <c r="J85" s="491"/>
      <c r="K85" s="492"/>
      <c r="L85" s="267"/>
    </row>
    <row r="86" spans="2:16" ht="11.25">
      <c r="B86" s="264"/>
      <c r="C86" s="317" t="s">
        <v>60</v>
      </c>
      <c r="D86" s="323" t="s">
        <v>92</v>
      </c>
      <c r="E86" s="323"/>
      <c r="F86" s="323"/>
      <c r="G86" s="323"/>
      <c r="H86" s="323"/>
      <c r="I86" s="323"/>
      <c r="J86" s="323"/>
      <c r="K86" s="324"/>
      <c r="L86" s="267"/>
    </row>
    <row r="87" spans="2:16" ht="11.25">
      <c r="B87" s="264"/>
      <c r="C87" s="317" t="s">
        <v>61</v>
      </c>
      <c r="D87" s="323" t="s">
        <v>93</v>
      </c>
      <c r="E87" s="323"/>
      <c r="F87" s="323"/>
      <c r="G87" s="323"/>
      <c r="H87" s="323"/>
      <c r="I87" s="323"/>
      <c r="J87" s="323"/>
      <c r="K87" s="324"/>
      <c r="L87" s="267"/>
    </row>
    <row r="88" spans="2:16" ht="11.25">
      <c r="B88" s="264"/>
      <c r="C88" s="317"/>
      <c r="D88" s="323"/>
      <c r="E88" s="323"/>
      <c r="F88" s="323"/>
      <c r="G88" s="323"/>
      <c r="H88" s="323"/>
      <c r="I88" s="323"/>
      <c r="J88" s="323"/>
      <c r="K88" s="324"/>
      <c r="L88" s="267"/>
    </row>
    <row r="89" spans="2:16" ht="11.25">
      <c r="B89" s="264"/>
      <c r="C89" s="318"/>
      <c r="D89" s="320" t="s">
        <v>94</v>
      </c>
      <c r="E89" s="312"/>
      <c r="F89" s="312"/>
      <c r="G89" s="312"/>
      <c r="H89" s="312"/>
      <c r="I89" s="312"/>
      <c r="J89" s="312"/>
      <c r="K89" s="321"/>
      <c r="L89" s="267"/>
    </row>
    <row r="90" spans="2:16" ht="11.25">
      <c r="B90" s="270"/>
      <c r="C90" s="311"/>
      <c r="D90" s="320"/>
      <c r="E90" s="312"/>
      <c r="F90" s="312"/>
      <c r="G90" s="312"/>
      <c r="H90" s="312"/>
      <c r="I90" s="312"/>
      <c r="J90" s="312"/>
      <c r="K90" s="312"/>
      <c r="L90" s="273"/>
    </row>
    <row r="91" spans="2:16">
      <c r="B91" s="262"/>
      <c r="C91" s="261"/>
      <c r="D91" s="262"/>
      <c r="E91" s="262"/>
      <c r="F91" s="262"/>
      <c r="G91" s="262"/>
      <c r="H91" s="262"/>
      <c r="I91" s="262"/>
      <c r="J91" s="262"/>
      <c r="K91" s="262"/>
      <c r="L91" s="262"/>
    </row>
    <row r="92" spans="2:16">
      <c r="B92" s="264"/>
      <c r="C92" s="261"/>
      <c r="D92" s="262"/>
      <c r="E92" s="262"/>
      <c r="F92" s="262"/>
      <c r="G92" s="262"/>
      <c r="H92" s="262"/>
      <c r="I92" s="262"/>
      <c r="J92" s="262"/>
      <c r="K92" s="262"/>
      <c r="L92" s="267"/>
    </row>
    <row r="93" spans="2:16" ht="28.9" customHeight="1">
      <c r="B93" s="254"/>
      <c r="C93" s="506" t="s">
        <v>39</v>
      </c>
      <c r="D93" s="507"/>
      <c r="E93" s="507"/>
      <c r="F93" s="507"/>
      <c r="G93" s="507"/>
      <c r="H93" s="507"/>
      <c r="I93" s="507"/>
      <c r="J93" s="507"/>
      <c r="K93" s="508"/>
      <c r="L93" s="255"/>
    </row>
    <row r="94" spans="2:16" ht="5.0999999999999996" customHeight="1">
      <c r="B94" s="256"/>
      <c r="C94" s="257"/>
      <c r="D94" s="257"/>
      <c r="E94" s="257"/>
      <c r="F94" s="257"/>
      <c r="G94" s="257"/>
      <c r="H94" s="257"/>
      <c r="I94" s="257"/>
      <c r="J94" s="257"/>
      <c r="K94" s="257"/>
      <c r="L94" s="258"/>
    </row>
    <row r="95" spans="2:16" ht="9.9499999999999993" customHeight="1">
      <c r="B95" s="259"/>
      <c r="C95" s="259"/>
      <c r="D95" s="259"/>
      <c r="E95" s="259"/>
      <c r="F95" s="259"/>
      <c r="G95" s="259"/>
      <c r="H95" s="259"/>
      <c r="I95" s="259"/>
      <c r="J95" s="259"/>
      <c r="K95" s="259"/>
      <c r="L95" s="259"/>
    </row>
    <row r="96" spans="2:16" ht="5.0999999999999996" customHeight="1">
      <c r="B96" s="260"/>
      <c r="C96" s="261"/>
      <c r="D96" s="262"/>
      <c r="E96" s="262"/>
      <c r="F96" s="262"/>
      <c r="G96" s="262"/>
      <c r="H96" s="262"/>
      <c r="I96" s="262"/>
      <c r="J96" s="262"/>
      <c r="K96" s="262"/>
      <c r="L96" s="263"/>
    </row>
    <row r="97" spans="2:17" ht="15" customHeight="1">
      <c r="B97" s="264"/>
      <c r="C97" s="495" t="s">
        <v>40</v>
      </c>
      <c r="D97" s="496"/>
      <c r="E97" s="265"/>
      <c r="F97" s="265"/>
      <c r="G97" s="265"/>
      <c r="H97" s="266" t="s">
        <v>41</v>
      </c>
      <c r="I97" s="266" t="s">
        <v>42</v>
      </c>
      <c r="J97" s="266" t="s">
        <v>43</v>
      </c>
      <c r="K97" s="266" t="s">
        <v>44</v>
      </c>
      <c r="L97" s="267"/>
    </row>
    <row r="98" spans="2:17" ht="35.1" customHeight="1">
      <c r="B98" s="264"/>
      <c r="C98" s="322" t="s">
        <v>400</v>
      </c>
      <c r="D98" s="271"/>
      <c r="E98" s="271"/>
      <c r="F98" s="271"/>
      <c r="G98" s="271"/>
      <c r="H98" s="268" t="s">
        <v>80</v>
      </c>
      <c r="I98" s="268" t="s">
        <v>405</v>
      </c>
      <c r="J98" s="269" t="s">
        <v>45</v>
      </c>
      <c r="K98" s="269" t="s">
        <v>362</v>
      </c>
      <c r="L98" s="267"/>
    </row>
    <row r="99" spans="2:17" ht="5.0999999999999996" customHeight="1">
      <c r="B99" s="270"/>
      <c r="C99" s="271"/>
      <c r="D99" s="271"/>
      <c r="E99" s="271"/>
      <c r="F99" s="271"/>
      <c r="G99" s="271"/>
      <c r="H99" s="271"/>
      <c r="I99" s="271"/>
      <c r="J99" s="272"/>
      <c r="K99" s="272"/>
      <c r="L99" s="273"/>
    </row>
    <row r="100" spans="2:17" ht="9.9499999999999993" customHeight="1">
      <c r="B100" s="274"/>
      <c r="C100" s="275"/>
      <c r="D100" s="275"/>
      <c r="E100" s="275"/>
      <c r="F100" s="275"/>
      <c r="G100" s="275"/>
      <c r="H100" s="275"/>
      <c r="I100" s="275"/>
      <c r="J100" s="276"/>
      <c r="K100" s="276"/>
      <c r="L100" s="274"/>
    </row>
    <row r="101" spans="2:17" ht="5.0999999999999996" customHeight="1">
      <c r="B101" s="260"/>
      <c r="C101" s="261"/>
      <c r="D101" s="262"/>
      <c r="E101" s="262"/>
      <c r="F101" s="262"/>
      <c r="G101" s="262"/>
      <c r="H101" s="262"/>
      <c r="I101" s="262"/>
      <c r="J101" s="262"/>
      <c r="K101" s="262"/>
      <c r="L101" s="263"/>
    </row>
    <row r="102" spans="2:17" s="279" customFormat="1" ht="21.95" customHeight="1">
      <c r="B102" s="277"/>
      <c r="C102" s="500" t="s">
        <v>46</v>
      </c>
      <c r="D102" s="490" t="s">
        <v>47</v>
      </c>
      <c r="E102" s="490" t="s">
        <v>48</v>
      </c>
      <c r="F102" s="490" t="s">
        <v>49</v>
      </c>
      <c r="G102" s="490" t="s">
        <v>50</v>
      </c>
      <c r="H102" s="490" t="s">
        <v>51</v>
      </c>
      <c r="I102" s="490"/>
      <c r="J102" s="490"/>
      <c r="K102" s="490" t="s">
        <v>52</v>
      </c>
      <c r="L102" s="278"/>
    </row>
    <row r="103" spans="2:17" s="279" customFormat="1" ht="21.95" customHeight="1">
      <c r="B103" s="277"/>
      <c r="C103" s="500"/>
      <c r="D103" s="490"/>
      <c r="E103" s="490"/>
      <c r="F103" s="490"/>
      <c r="G103" s="490"/>
      <c r="H103" s="280" t="s">
        <v>53</v>
      </c>
      <c r="I103" s="280" t="s">
        <v>54</v>
      </c>
      <c r="J103" s="280" t="s">
        <v>55</v>
      </c>
      <c r="K103" s="490"/>
      <c r="L103" s="278"/>
      <c r="O103" s="279" t="s">
        <v>81</v>
      </c>
      <c r="P103" s="279" t="s">
        <v>82</v>
      </c>
      <c r="Q103" s="279" t="s">
        <v>83</v>
      </c>
    </row>
    <row r="104" spans="2:17" ht="5.0999999999999996" customHeight="1">
      <c r="B104" s="264"/>
      <c r="C104" s="251"/>
      <c r="D104" s="252"/>
      <c r="E104" s="252"/>
      <c r="F104" s="252"/>
      <c r="G104" s="252"/>
      <c r="H104" s="252"/>
      <c r="I104" s="252"/>
      <c r="J104" s="252"/>
      <c r="K104" s="252"/>
      <c r="L104" s="267"/>
    </row>
    <row r="105" spans="2:17" ht="22.5">
      <c r="B105" s="264"/>
      <c r="C105" s="281" t="s">
        <v>56</v>
      </c>
      <c r="D105" s="282" t="s">
        <v>84</v>
      </c>
      <c r="E105" s="280" t="s">
        <v>85</v>
      </c>
      <c r="F105" s="287">
        <f>Q105</f>
        <v>11.205</v>
      </c>
      <c r="G105" s="283">
        <v>50.59</v>
      </c>
      <c r="H105" s="283">
        <f>ROUND(F105*G105,2)</f>
        <v>566.86</v>
      </c>
      <c r="I105" s="283"/>
      <c r="J105" s="283"/>
      <c r="K105" s="284" t="s">
        <v>86</v>
      </c>
      <c r="L105" s="267"/>
      <c r="N105" s="285"/>
      <c r="O105" s="286">
        <v>8.3000000000000007</v>
      </c>
      <c r="P105" s="285">
        <v>1.35</v>
      </c>
      <c r="Q105" s="249">
        <f>P105*O105</f>
        <v>11.205</v>
      </c>
    </row>
    <row r="106" spans="2:17" ht="11.25">
      <c r="B106" s="264"/>
      <c r="C106" s="281" t="s">
        <v>60</v>
      </c>
      <c r="D106" s="282" t="s">
        <v>113</v>
      </c>
      <c r="E106" s="280" t="s">
        <v>85</v>
      </c>
      <c r="F106" s="287">
        <v>1.012</v>
      </c>
      <c r="G106" s="283">
        <f>G378</f>
        <v>40</v>
      </c>
      <c r="H106" s="283">
        <f>ROUND(F106*G106,2)</f>
        <v>40.479999999999997</v>
      </c>
      <c r="I106" s="283"/>
      <c r="J106" s="283"/>
      <c r="K106" s="284" t="s">
        <v>373</v>
      </c>
      <c r="L106" s="267"/>
      <c r="N106" s="285"/>
      <c r="P106" s="285"/>
    </row>
    <row r="107" spans="2:17" ht="11.25">
      <c r="B107" s="264"/>
      <c r="C107" s="281" t="s">
        <v>61</v>
      </c>
      <c r="D107" s="282" t="s">
        <v>87</v>
      </c>
      <c r="E107" s="280" t="s">
        <v>85</v>
      </c>
      <c r="F107" s="287">
        <v>10.192</v>
      </c>
      <c r="G107" s="283">
        <v>10.48</v>
      </c>
      <c r="H107" s="283">
        <f>ROUND(F107*G107,2)</f>
        <v>106.81</v>
      </c>
      <c r="I107" s="283"/>
      <c r="J107" s="283"/>
      <c r="K107" s="284" t="s">
        <v>88</v>
      </c>
      <c r="L107" s="267"/>
      <c r="N107" s="285"/>
      <c r="O107" s="286">
        <f>P105*0.25*3</f>
        <v>1.0129999999999999</v>
      </c>
      <c r="P107" s="285" t="s">
        <v>523</v>
      </c>
    </row>
    <row r="108" spans="2:17" ht="11.25">
      <c r="B108" s="264"/>
      <c r="C108" s="281"/>
      <c r="D108" s="282"/>
      <c r="E108" s="280"/>
      <c r="F108" s="287"/>
      <c r="G108" s="283"/>
      <c r="H108" s="283"/>
      <c r="I108" s="283"/>
      <c r="J108" s="283"/>
      <c r="K108" s="284"/>
      <c r="L108" s="267"/>
      <c r="N108" s="285"/>
      <c r="O108" s="286"/>
      <c r="P108" s="285"/>
    </row>
    <row r="109" spans="2:17" ht="11.25">
      <c r="B109" s="264"/>
      <c r="C109" s="281"/>
      <c r="D109" s="282"/>
      <c r="E109" s="280"/>
      <c r="F109" s="287"/>
      <c r="G109" s="283"/>
      <c r="H109" s="283"/>
      <c r="I109" s="283"/>
      <c r="J109" s="283"/>
      <c r="K109" s="284"/>
      <c r="L109" s="267"/>
      <c r="N109" s="285"/>
      <c r="O109" s="286"/>
      <c r="P109" s="285"/>
    </row>
    <row r="110" spans="2:17" ht="11.25">
      <c r="B110" s="264"/>
      <c r="C110" s="281"/>
      <c r="D110" s="282"/>
      <c r="E110" s="280"/>
      <c r="F110" s="287"/>
      <c r="G110" s="283"/>
      <c r="H110" s="283"/>
      <c r="I110" s="283"/>
      <c r="J110" s="283"/>
      <c r="K110" s="284"/>
      <c r="L110" s="267"/>
      <c r="N110" s="285"/>
      <c r="O110" s="286"/>
      <c r="P110" s="285"/>
    </row>
    <row r="111" spans="2:17" ht="11.25">
      <c r="B111" s="264"/>
      <c r="C111" s="281"/>
      <c r="D111" s="282"/>
      <c r="E111" s="280"/>
      <c r="F111" s="287"/>
      <c r="G111" s="283"/>
      <c r="H111" s="283"/>
      <c r="I111" s="283"/>
      <c r="J111" s="283"/>
      <c r="K111" s="284"/>
      <c r="L111" s="267"/>
      <c r="N111" s="285"/>
      <c r="O111" s="286"/>
      <c r="P111" s="285"/>
    </row>
    <row r="112" spans="2:17" ht="11.25">
      <c r="B112" s="264"/>
      <c r="C112" s="281"/>
      <c r="D112" s="282"/>
      <c r="E112" s="280"/>
      <c r="F112" s="287"/>
      <c r="G112" s="283"/>
      <c r="H112" s="283"/>
      <c r="I112" s="283"/>
      <c r="J112" s="283"/>
      <c r="K112" s="284"/>
      <c r="L112" s="267"/>
      <c r="N112" s="285"/>
      <c r="O112" s="286"/>
      <c r="P112" s="285"/>
    </row>
    <row r="113" spans="2:16" ht="11.25">
      <c r="B113" s="264"/>
      <c r="C113" s="281"/>
      <c r="D113" s="282"/>
      <c r="E113" s="280"/>
      <c r="F113" s="287"/>
      <c r="G113" s="283"/>
      <c r="H113" s="283"/>
      <c r="I113" s="283"/>
      <c r="J113" s="283"/>
      <c r="K113" s="284"/>
      <c r="L113" s="267"/>
      <c r="N113" s="285"/>
      <c r="O113" s="286"/>
      <c r="P113" s="285"/>
    </row>
    <row r="114" spans="2:16" ht="11.25">
      <c r="B114" s="264"/>
      <c r="C114" s="281"/>
      <c r="D114" s="282"/>
      <c r="E114" s="280"/>
      <c r="F114" s="287"/>
      <c r="G114" s="283"/>
      <c r="H114" s="283"/>
      <c r="I114" s="283"/>
      <c r="J114" s="283"/>
      <c r="K114" s="284"/>
      <c r="L114" s="267"/>
      <c r="N114" s="285"/>
      <c r="O114" s="286"/>
      <c r="P114" s="285"/>
    </row>
    <row r="115" spans="2:16" ht="11.25">
      <c r="B115" s="264"/>
      <c r="C115" s="281"/>
      <c r="D115" s="282"/>
      <c r="E115" s="280"/>
      <c r="F115" s="287"/>
      <c r="G115" s="283"/>
      <c r="H115" s="283"/>
      <c r="I115" s="283"/>
      <c r="J115" s="283"/>
      <c r="K115" s="284"/>
      <c r="L115" s="267"/>
      <c r="N115" s="285"/>
      <c r="O115" s="286"/>
      <c r="P115" s="285"/>
    </row>
    <row r="116" spans="2:16" ht="11.25">
      <c r="B116" s="264"/>
      <c r="C116" s="281"/>
      <c r="D116" s="282"/>
      <c r="E116" s="280"/>
      <c r="F116" s="287"/>
      <c r="G116" s="283"/>
      <c r="H116" s="283"/>
      <c r="I116" s="283"/>
      <c r="J116" s="283"/>
      <c r="K116" s="284"/>
      <c r="L116" s="267"/>
      <c r="N116" s="285"/>
      <c r="O116" s="286"/>
      <c r="P116" s="285"/>
    </row>
    <row r="117" spans="2:16" ht="11.25">
      <c r="B117" s="264"/>
      <c r="C117" s="281"/>
      <c r="D117" s="282"/>
      <c r="E117" s="280"/>
      <c r="F117" s="287"/>
      <c r="G117" s="283"/>
      <c r="H117" s="283"/>
      <c r="I117" s="283"/>
      <c r="J117" s="283"/>
      <c r="K117" s="284"/>
      <c r="L117" s="267"/>
      <c r="N117" s="285"/>
      <c r="O117" s="286"/>
      <c r="P117" s="285"/>
    </row>
    <row r="118" spans="2:16" ht="11.25">
      <c r="B118" s="264"/>
      <c r="C118" s="281"/>
      <c r="D118" s="282"/>
      <c r="E118" s="280"/>
      <c r="F118" s="287"/>
      <c r="G118" s="283"/>
      <c r="H118" s="283"/>
      <c r="I118" s="283"/>
      <c r="J118" s="283"/>
      <c r="K118" s="284"/>
      <c r="L118" s="267"/>
      <c r="N118" s="285"/>
      <c r="O118" s="286"/>
      <c r="P118" s="285"/>
    </row>
    <row r="119" spans="2:16" ht="11.25">
      <c r="B119" s="264"/>
      <c r="C119" s="281"/>
      <c r="D119" s="282"/>
      <c r="E119" s="280"/>
      <c r="F119" s="287"/>
      <c r="G119" s="283"/>
      <c r="H119" s="283"/>
      <c r="I119" s="283"/>
      <c r="J119" s="283"/>
      <c r="K119" s="284"/>
      <c r="L119" s="267"/>
      <c r="N119" s="285"/>
      <c r="O119" s="286"/>
      <c r="P119" s="285"/>
    </row>
    <row r="120" spans="2:16" ht="11.25">
      <c r="B120" s="264"/>
      <c r="C120" s="281"/>
      <c r="D120" s="282"/>
      <c r="E120" s="280"/>
      <c r="F120" s="287"/>
      <c r="G120" s="283"/>
      <c r="H120" s="283"/>
      <c r="I120" s="283"/>
      <c r="J120" s="283"/>
      <c r="K120" s="284"/>
      <c r="L120" s="267"/>
      <c r="N120" s="285"/>
      <c r="O120" s="286"/>
      <c r="P120" s="285"/>
    </row>
    <row r="121" spans="2:16" ht="11.25">
      <c r="B121" s="264"/>
      <c r="C121" s="281"/>
      <c r="D121" s="282"/>
      <c r="E121" s="280"/>
      <c r="F121" s="287"/>
      <c r="G121" s="283"/>
      <c r="H121" s="283"/>
      <c r="I121" s="283"/>
      <c r="J121" s="283"/>
      <c r="K121" s="284"/>
      <c r="L121" s="267"/>
      <c r="N121" s="285"/>
      <c r="O121" s="286"/>
      <c r="P121" s="285"/>
    </row>
    <row r="122" spans="2:16" ht="11.25">
      <c r="B122" s="264"/>
      <c r="C122" s="281"/>
      <c r="D122" s="282"/>
      <c r="E122" s="280"/>
      <c r="F122" s="287"/>
      <c r="G122" s="283"/>
      <c r="H122" s="283"/>
      <c r="I122" s="283"/>
      <c r="J122" s="283"/>
      <c r="K122" s="284"/>
      <c r="L122" s="267"/>
      <c r="N122" s="285"/>
      <c r="O122" s="286"/>
      <c r="P122" s="285"/>
    </row>
    <row r="123" spans="2:16" ht="11.25">
      <c r="B123" s="264"/>
      <c r="C123" s="281"/>
      <c r="D123" s="282"/>
      <c r="E123" s="280"/>
      <c r="F123" s="287"/>
      <c r="G123" s="283"/>
      <c r="H123" s="283"/>
      <c r="I123" s="283"/>
      <c r="J123" s="283"/>
      <c r="K123" s="284"/>
      <c r="L123" s="267"/>
      <c r="N123" s="285"/>
      <c r="O123" s="286"/>
      <c r="P123" s="285"/>
    </row>
    <row r="124" spans="2:16" ht="11.25">
      <c r="B124" s="264"/>
      <c r="C124" s="281"/>
      <c r="D124" s="282"/>
      <c r="E124" s="280"/>
      <c r="F124" s="287"/>
      <c r="G124" s="283"/>
      <c r="H124" s="283"/>
      <c r="I124" s="283"/>
      <c r="J124" s="283"/>
      <c r="K124" s="284"/>
      <c r="L124" s="267"/>
      <c r="N124" s="285"/>
      <c r="O124" s="286"/>
      <c r="P124" s="285"/>
    </row>
    <row r="125" spans="2:16" ht="11.25">
      <c r="B125" s="264"/>
      <c r="C125" s="281"/>
      <c r="D125" s="282"/>
      <c r="E125" s="280"/>
      <c r="F125" s="287"/>
      <c r="G125" s="283"/>
      <c r="H125" s="283"/>
      <c r="I125" s="283"/>
      <c r="J125" s="283"/>
      <c r="K125" s="284"/>
      <c r="L125" s="267"/>
      <c r="N125" s="285"/>
      <c r="O125" s="286"/>
      <c r="P125" s="285"/>
    </row>
    <row r="126" spans="2:16" ht="11.25">
      <c r="B126" s="264"/>
      <c r="C126" s="281"/>
      <c r="D126" s="282"/>
      <c r="E126" s="280"/>
      <c r="F126" s="287"/>
      <c r="G126" s="283"/>
      <c r="H126" s="283"/>
      <c r="I126" s="283"/>
      <c r="J126" s="283"/>
      <c r="K126" s="284"/>
      <c r="L126" s="267"/>
      <c r="N126" s="285"/>
      <c r="O126" s="286"/>
      <c r="P126" s="285"/>
    </row>
    <row r="127" spans="2:16" ht="11.25">
      <c r="B127" s="264"/>
      <c r="C127" s="281"/>
      <c r="D127" s="282"/>
      <c r="E127" s="280"/>
      <c r="F127" s="287"/>
      <c r="G127" s="283"/>
      <c r="H127" s="283"/>
      <c r="I127" s="283"/>
      <c r="J127" s="283"/>
      <c r="K127" s="284"/>
      <c r="L127" s="267"/>
      <c r="N127" s="285"/>
      <c r="O127" s="286"/>
      <c r="P127" s="285"/>
    </row>
    <row r="128" spans="2:16" ht="11.25">
      <c r="B128" s="264"/>
      <c r="C128" s="281"/>
      <c r="D128" s="282"/>
      <c r="E128" s="280"/>
      <c r="F128" s="287"/>
      <c r="G128" s="283"/>
      <c r="H128" s="283"/>
      <c r="I128" s="283"/>
      <c r="J128" s="283"/>
      <c r="K128" s="284"/>
      <c r="L128" s="267"/>
      <c r="N128" s="285"/>
      <c r="O128" s="286"/>
      <c r="P128" s="285"/>
    </row>
    <row r="129" spans="2:16" ht="11.25">
      <c r="B129" s="264"/>
      <c r="C129" s="281"/>
      <c r="D129" s="282"/>
      <c r="E129" s="280"/>
      <c r="F129" s="287"/>
      <c r="G129" s="283"/>
      <c r="H129" s="283"/>
      <c r="I129" s="283"/>
      <c r="J129" s="283"/>
      <c r="K129" s="284"/>
      <c r="L129" s="267"/>
      <c r="N129" s="285"/>
      <c r="O129" s="286"/>
      <c r="P129" s="285"/>
    </row>
    <row r="130" spans="2:16" ht="11.25">
      <c r="B130" s="264"/>
      <c r="C130" s="281"/>
      <c r="D130" s="282"/>
      <c r="E130" s="280"/>
      <c r="F130" s="287"/>
      <c r="G130" s="283"/>
      <c r="H130" s="283"/>
      <c r="I130" s="283"/>
      <c r="J130" s="283"/>
      <c r="K130" s="284"/>
      <c r="L130" s="267"/>
      <c r="N130" s="285"/>
      <c r="O130" s="286"/>
      <c r="P130" s="285"/>
    </row>
    <row r="131" spans="2:16" ht="11.25">
      <c r="B131" s="264"/>
      <c r="C131" s="281"/>
      <c r="D131" s="282"/>
      <c r="E131" s="280"/>
      <c r="F131" s="287"/>
      <c r="G131" s="283"/>
      <c r="H131" s="283"/>
      <c r="I131" s="283"/>
      <c r="J131" s="283"/>
      <c r="K131" s="284"/>
      <c r="L131" s="267"/>
      <c r="N131" s="285"/>
      <c r="O131" s="286"/>
      <c r="P131" s="285"/>
    </row>
    <row r="132" spans="2:16" ht="11.25">
      <c r="B132" s="264"/>
      <c r="C132" s="281"/>
      <c r="D132" s="282"/>
      <c r="E132" s="280"/>
      <c r="F132" s="287"/>
      <c r="G132" s="283"/>
      <c r="H132" s="283"/>
      <c r="I132" s="283"/>
      <c r="J132" s="283"/>
      <c r="K132" s="284"/>
      <c r="L132" s="267"/>
      <c r="N132" s="285"/>
      <c r="O132" s="286"/>
      <c r="P132" s="285"/>
    </row>
    <row r="133" spans="2:16" ht="11.25">
      <c r="B133" s="264"/>
      <c r="C133" s="281"/>
      <c r="D133" s="282"/>
      <c r="E133" s="280"/>
      <c r="F133" s="287"/>
      <c r="G133" s="283"/>
      <c r="H133" s="283"/>
      <c r="I133" s="283"/>
      <c r="J133" s="283"/>
      <c r="K133" s="284"/>
      <c r="L133" s="267"/>
      <c r="N133" s="285"/>
      <c r="O133" s="286"/>
      <c r="P133" s="285"/>
    </row>
    <row r="134" spans="2:16" ht="11.25">
      <c r="B134" s="264"/>
      <c r="C134" s="281"/>
      <c r="D134" s="282"/>
      <c r="E134" s="280"/>
      <c r="F134" s="287"/>
      <c r="G134" s="283"/>
      <c r="H134" s="283"/>
      <c r="I134" s="283"/>
      <c r="J134" s="283"/>
      <c r="K134" s="284"/>
      <c r="L134" s="267"/>
      <c r="N134" s="285"/>
      <c r="O134" s="286"/>
      <c r="P134" s="285"/>
    </row>
    <row r="135" spans="2:16" ht="11.25">
      <c r="B135" s="264"/>
      <c r="C135" s="281"/>
      <c r="D135" s="282"/>
      <c r="E135" s="280"/>
      <c r="F135" s="287"/>
      <c r="G135" s="283"/>
      <c r="H135" s="283"/>
      <c r="I135" s="283"/>
      <c r="J135" s="283"/>
      <c r="K135" s="284"/>
      <c r="L135" s="267"/>
      <c r="N135" s="285"/>
      <c r="O135" s="286"/>
      <c r="P135" s="285"/>
    </row>
    <row r="136" spans="2:16" ht="11.25">
      <c r="B136" s="264"/>
      <c r="C136" s="281"/>
      <c r="D136" s="282"/>
      <c r="E136" s="280"/>
      <c r="F136" s="287"/>
      <c r="G136" s="283"/>
      <c r="H136" s="283"/>
      <c r="I136" s="283"/>
      <c r="J136" s="283"/>
      <c r="K136" s="284"/>
      <c r="L136" s="267"/>
      <c r="N136" s="285"/>
      <c r="O136" s="286"/>
      <c r="P136" s="285"/>
    </row>
    <row r="137" spans="2:16" ht="11.25">
      <c r="B137" s="264"/>
      <c r="C137" s="281"/>
      <c r="D137" s="282"/>
      <c r="E137" s="280"/>
      <c r="F137" s="287"/>
      <c r="G137" s="283"/>
      <c r="H137" s="283"/>
      <c r="I137" s="283"/>
      <c r="J137" s="283"/>
      <c r="K137" s="284"/>
      <c r="L137" s="267"/>
      <c r="N137" s="285"/>
      <c r="O137" s="286"/>
      <c r="P137" s="285"/>
    </row>
    <row r="138" spans="2:16" ht="11.25">
      <c r="B138" s="264"/>
      <c r="C138" s="281"/>
      <c r="D138" s="282"/>
      <c r="E138" s="280"/>
      <c r="F138" s="287"/>
      <c r="G138" s="283"/>
      <c r="H138" s="283"/>
      <c r="I138" s="283"/>
      <c r="J138" s="283"/>
      <c r="K138" s="284"/>
      <c r="L138" s="267"/>
      <c r="N138" s="285"/>
      <c r="O138" s="286"/>
      <c r="P138" s="285"/>
    </row>
    <row r="139" spans="2:16" ht="11.25">
      <c r="B139" s="264"/>
      <c r="C139" s="281"/>
      <c r="D139" s="282"/>
      <c r="E139" s="280"/>
      <c r="F139" s="287"/>
      <c r="G139" s="283"/>
      <c r="H139" s="283"/>
      <c r="I139" s="283"/>
      <c r="J139" s="283"/>
      <c r="K139" s="284"/>
      <c r="L139" s="267"/>
      <c r="N139" s="285"/>
      <c r="O139" s="286"/>
      <c r="P139" s="285"/>
    </row>
    <row r="140" spans="2:16" ht="11.25">
      <c r="B140" s="264"/>
      <c r="C140" s="281"/>
      <c r="D140" s="282"/>
      <c r="E140" s="280"/>
      <c r="F140" s="287"/>
      <c r="G140" s="283"/>
      <c r="H140" s="283"/>
      <c r="I140" s="283"/>
      <c r="J140" s="283"/>
      <c r="K140" s="284"/>
      <c r="L140" s="267"/>
      <c r="N140" s="285"/>
      <c r="O140" s="286"/>
      <c r="P140" s="285"/>
    </row>
    <row r="141" spans="2:16" ht="11.25">
      <c r="B141" s="264"/>
      <c r="C141" s="281"/>
      <c r="D141" s="282"/>
      <c r="E141" s="280"/>
      <c r="F141" s="287"/>
      <c r="G141" s="283"/>
      <c r="H141" s="283"/>
      <c r="I141" s="283"/>
      <c r="J141" s="283"/>
      <c r="K141" s="284"/>
      <c r="L141" s="267"/>
      <c r="N141" s="285"/>
      <c r="O141" s="286"/>
      <c r="P141" s="285"/>
    </row>
    <row r="142" spans="2:16" ht="11.25">
      <c r="B142" s="264"/>
      <c r="C142" s="281"/>
      <c r="D142" s="282"/>
      <c r="E142" s="280"/>
      <c r="F142" s="287"/>
      <c r="G142" s="283"/>
      <c r="H142" s="283"/>
      <c r="I142" s="283"/>
      <c r="J142" s="283"/>
      <c r="K142" s="284"/>
      <c r="L142" s="267"/>
      <c r="N142" s="285"/>
      <c r="O142" s="286"/>
      <c r="P142" s="285"/>
    </row>
    <row r="143" spans="2:16" ht="11.25">
      <c r="B143" s="264"/>
      <c r="C143" s="281"/>
      <c r="D143" s="282"/>
      <c r="E143" s="280"/>
      <c r="F143" s="287"/>
      <c r="G143" s="283"/>
      <c r="H143" s="283"/>
      <c r="I143" s="283"/>
      <c r="J143" s="283"/>
      <c r="K143" s="284"/>
      <c r="L143" s="267"/>
      <c r="N143" s="285"/>
      <c r="O143" s="286"/>
      <c r="P143" s="285"/>
    </row>
    <row r="144" spans="2:16" ht="11.25">
      <c r="B144" s="264"/>
      <c r="C144" s="281"/>
      <c r="D144" s="282"/>
      <c r="E144" s="280"/>
      <c r="F144" s="287"/>
      <c r="G144" s="283"/>
      <c r="H144" s="283"/>
      <c r="I144" s="283"/>
      <c r="J144" s="283"/>
      <c r="K144" s="284"/>
      <c r="L144" s="267"/>
      <c r="N144" s="285"/>
      <c r="O144" s="286"/>
      <c r="P144" s="285"/>
    </row>
    <row r="145" spans="2:16" ht="11.25">
      <c r="B145" s="264"/>
      <c r="C145" s="281"/>
      <c r="D145" s="282"/>
      <c r="E145" s="280"/>
      <c r="F145" s="287"/>
      <c r="G145" s="283"/>
      <c r="H145" s="283"/>
      <c r="I145" s="283"/>
      <c r="J145" s="283"/>
      <c r="K145" s="284"/>
      <c r="L145" s="267"/>
      <c r="N145" s="285"/>
      <c r="O145" s="286"/>
      <c r="P145" s="285"/>
    </row>
    <row r="146" spans="2:16" ht="11.25">
      <c r="B146" s="264"/>
      <c r="C146" s="281"/>
      <c r="D146" s="282"/>
      <c r="E146" s="280"/>
      <c r="F146" s="287"/>
      <c r="G146" s="283"/>
      <c r="H146" s="283"/>
      <c r="I146" s="283"/>
      <c r="J146" s="283"/>
      <c r="K146" s="284"/>
      <c r="L146" s="267"/>
      <c r="N146" s="285"/>
      <c r="O146" s="286"/>
      <c r="P146" s="285"/>
    </row>
    <row r="147" spans="2:16" ht="11.25">
      <c r="B147" s="264"/>
      <c r="C147" s="281"/>
      <c r="D147" s="282"/>
      <c r="E147" s="280"/>
      <c r="F147" s="287"/>
      <c r="G147" s="283"/>
      <c r="H147" s="283"/>
      <c r="I147" s="283"/>
      <c r="J147" s="283"/>
      <c r="K147" s="284"/>
      <c r="L147" s="267"/>
      <c r="N147" s="285"/>
      <c r="O147" s="286"/>
      <c r="P147" s="285"/>
    </row>
    <row r="148" spans="2:16" ht="11.25">
      <c r="B148" s="264"/>
      <c r="C148" s="281"/>
      <c r="D148" s="282"/>
      <c r="E148" s="280"/>
      <c r="F148" s="287"/>
      <c r="G148" s="283"/>
      <c r="H148" s="283"/>
      <c r="I148" s="283"/>
      <c r="J148" s="283"/>
      <c r="K148" s="284"/>
      <c r="L148" s="267"/>
      <c r="N148" s="285"/>
      <c r="O148" s="286"/>
      <c r="P148" s="285"/>
    </row>
    <row r="149" spans="2:16" ht="11.25">
      <c r="B149" s="264"/>
      <c r="C149" s="281"/>
      <c r="D149" s="282"/>
      <c r="E149" s="280"/>
      <c r="F149" s="287"/>
      <c r="G149" s="283"/>
      <c r="H149" s="283"/>
      <c r="I149" s="283"/>
      <c r="J149" s="283"/>
      <c r="K149" s="284"/>
      <c r="L149" s="267"/>
      <c r="N149" s="285"/>
      <c r="O149" s="286"/>
      <c r="P149" s="285"/>
    </row>
    <row r="150" spans="2:16" ht="11.25">
      <c r="B150" s="264"/>
      <c r="C150" s="281"/>
      <c r="D150" s="282"/>
      <c r="E150" s="280"/>
      <c r="F150" s="287"/>
      <c r="G150" s="283"/>
      <c r="H150" s="283"/>
      <c r="I150" s="283"/>
      <c r="J150" s="283"/>
      <c r="K150" s="284"/>
      <c r="L150" s="267"/>
      <c r="N150" s="285"/>
      <c r="O150" s="286"/>
      <c r="P150" s="285"/>
    </row>
    <row r="151" spans="2:16" ht="11.25">
      <c r="B151" s="264"/>
      <c r="C151" s="281"/>
      <c r="D151" s="282"/>
      <c r="E151" s="280"/>
      <c r="F151" s="287"/>
      <c r="G151" s="283"/>
      <c r="H151" s="283"/>
      <c r="I151" s="283"/>
      <c r="J151" s="283"/>
      <c r="K151" s="284"/>
      <c r="L151" s="267"/>
      <c r="N151" s="285"/>
      <c r="O151" s="286"/>
      <c r="P151" s="285"/>
    </row>
    <row r="152" spans="2:16" ht="11.25">
      <c r="B152" s="264"/>
      <c r="C152" s="281"/>
      <c r="D152" s="282"/>
      <c r="E152" s="280"/>
      <c r="F152" s="287"/>
      <c r="G152" s="283"/>
      <c r="H152" s="283"/>
      <c r="I152" s="283"/>
      <c r="J152" s="283"/>
      <c r="K152" s="284"/>
      <c r="L152" s="267"/>
      <c r="N152" s="285"/>
      <c r="O152" s="286"/>
      <c r="P152" s="285"/>
    </row>
    <row r="153" spans="2:16" ht="11.25">
      <c r="B153" s="264"/>
      <c r="C153" s="281"/>
      <c r="D153" s="288"/>
      <c r="E153" s="280"/>
      <c r="F153" s="287"/>
      <c r="G153" s="283"/>
      <c r="H153" s="283"/>
      <c r="I153" s="283"/>
      <c r="J153" s="283"/>
      <c r="K153" s="289"/>
      <c r="L153" s="267"/>
    </row>
    <row r="154" spans="2:16" ht="11.25">
      <c r="B154" s="264"/>
      <c r="C154" s="251"/>
      <c r="D154" s="290"/>
      <c r="E154" s="291"/>
      <c r="F154" s="292"/>
      <c r="G154" s="292"/>
      <c r="H154" s="292"/>
      <c r="I154" s="292"/>
      <c r="J154" s="292"/>
      <c r="K154" s="293"/>
      <c r="L154" s="267"/>
    </row>
    <row r="155" spans="2:16" ht="11.25">
      <c r="B155" s="264"/>
      <c r="C155" s="281"/>
      <c r="D155" s="294" t="s">
        <v>67</v>
      </c>
      <c r="E155" s="295"/>
      <c r="F155" s="296"/>
      <c r="G155" s="297"/>
      <c r="H155" s="283">
        <f>ROUND(SUM(H105:H154),2)</f>
        <v>714.15</v>
      </c>
      <c r="I155" s="283">
        <f>ROUND(SUM(I105:I154),2)</f>
        <v>0</v>
      </c>
      <c r="J155" s="283">
        <f>ROUND(SUM(J105:J154),2)</f>
        <v>0</v>
      </c>
      <c r="K155" s="283">
        <f>SUM(H155:J155)</f>
        <v>714.15</v>
      </c>
      <c r="L155" s="267"/>
    </row>
    <row r="156" spans="2:16" ht="11.25">
      <c r="B156" s="264"/>
      <c r="C156" s="281"/>
      <c r="D156" s="288" t="s">
        <v>68</v>
      </c>
      <c r="E156" s="280" t="s">
        <v>69</v>
      </c>
      <c r="F156" s="283">
        <v>0</v>
      </c>
      <c r="G156" s="283">
        <f>J155</f>
        <v>0</v>
      </c>
      <c r="H156" s="298"/>
      <c r="I156" s="299"/>
      <c r="J156" s="300">
        <f>ROUND(F156*G156/100,2)</f>
        <v>0</v>
      </c>
      <c r="K156" s="301"/>
      <c r="L156" s="267"/>
    </row>
    <row r="157" spans="2:16" ht="11.25">
      <c r="B157" s="264"/>
      <c r="C157" s="281"/>
      <c r="D157" s="288" t="s">
        <v>70</v>
      </c>
      <c r="E157" s="280" t="s">
        <v>69</v>
      </c>
      <c r="F157" s="283">
        <v>0</v>
      </c>
      <c r="G157" s="283">
        <f>I155</f>
        <v>0</v>
      </c>
      <c r="H157" s="301"/>
      <c r="I157" s="283">
        <f>ROUND(F157*G157/100,2)</f>
        <v>0</v>
      </c>
      <c r="J157" s="298"/>
      <c r="K157" s="299"/>
      <c r="L157" s="267"/>
    </row>
    <row r="158" spans="2:16" ht="11.25">
      <c r="B158" s="264"/>
      <c r="C158" s="281"/>
      <c r="D158" s="288" t="s">
        <v>71</v>
      </c>
      <c r="E158" s="280" t="s">
        <v>69</v>
      </c>
      <c r="F158" s="283">
        <v>0</v>
      </c>
      <c r="G158" s="283">
        <f>H155</f>
        <v>714.15</v>
      </c>
      <c r="H158" s="283">
        <f>ROUND(F158/100*G158,2)</f>
        <v>0</v>
      </c>
      <c r="I158" s="298"/>
      <c r="J158" s="302"/>
      <c r="K158" s="299"/>
      <c r="L158" s="267"/>
    </row>
    <row r="159" spans="2:16" ht="11.25">
      <c r="B159" s="264"/>
      <c r="C159" s="281"/>
      <c r="D159" s="294" t="s">
        <v>72</v>
      </c>
      <c r="E159" s="295"/>
      <c r="F159" s="296"/>
      <c r="G159" s="297"/>
      <c r="H159" s="283">
        <f>SUM(H155,H158)</f>
        <v>714.15</v>
      </c>
      <c r="I159" s="283">
        <f>SUM(I155,I157)</f>
        <v>0</v>
      </c>
      <c r="J159" s="283">
        <f>SUM(J155:J156)</f>
        <v>0</v>
      </c>
      <c r="K159" s="283">
        <f>SUM(H159:J159)</f>
        <v>714.15</v>
      </c>
      <c r="L159" s="267"/>
    </row>
    <row r="160" spans="2:16" ht="18">
      <c r="B160" s="264"/>
      <c r="C160" s="281"/>
      <c r="D160" s="288" t="s">
        <v>73</v>
      </c>
      <c r="E160" s="280" t="s">
        <v>69</v>
      </c>
      <c r="F160" s="283"/>
      <c r="G160" s="283">
        <f>SUM(K159)</f>
        <v>714.15</v>
      </c>
      <c r="H160" s="298"/>
      <c r="I160" s="302"/>
      <c r="J160" s="299"/>
      <c r="K160" s="283">
        <f>ROUND(F160*G160/100,2)</f>
        <v>0</v>
      </c>
      <c r="L160" s="267"/>
      <c r="M160" s="303"/>
    </row>
    <row r="161" spans="2:16" ht="11.25">
      <c r="B161" s="264"/>
      <c r="C161" s="281"/>
      <c r="D161" s="294" t="s">
        <v>74</v>
      </c>
      <c r="E161" s="304"/>
      <c r="F161" s="304"/>
      <c r="G161" s="304"/>
      <c r="H161" s="304"/>
      <c r="I161" s="304"/>
      <c r="J161" s="305"/>
      <c r="K161" s="283">
        <f>SUM(K159:K160)</f>
        <v>714.15</v>
      </c>
      <c r="L161" s="267"/>
    </row>
    <row r="162" spans="2:16" ht="11.25">
      <c r="B162" s="264"/>
      <c r="C162" s="281"/>
      <c r="D162" s="294" t="s">
        <v>75</v>
      </c>
      <c r="E162" s="305"/>
      <c r="F162" s="283">
        <v>1</v>
      </c>
      <c r="G162" s="283">
        <f>K161</f>
        <v>714.15</v>
      </c>
      <c r="H162" s="298"/>
      <c r="I162" s="302"/>
      <c r="J162" s="299"/>
      <c r="K162" s="283">
        <f>ROUND(G162/F162,2)</f>
        <v>714.15</v>
      </c>
      <c r="L162" s="267"/>
    </row>
    <row r="163" spans="2:16" ht="11.25">
      <c r="B163" s="264"/>
      <c r="C163" s="281"/>
      <c r="D163" s="306" t="s">
        <v>76</v>
      </c>
      <c r="E163" s="307"/>
      <c r="F163" s="307"/>
      <c r="G163" s="307"/>
      <c r="H163" s="307"/>
      <c r="I163" s="307"/>
      <c r="J163" s="308"/>
      <c r="K163" s="309">
        <f>K162</f>
        <v>714.15</v>
      </c>
      <c r="L163" s="267"/>
      <c r="N163" s="310"/>
      <c r="O163" s="310"/>
      <c r="P163" s="310"/>
    </row>
    <row r="164" spans="2:16" ht="11.25">
      <c r="B164" s="270"/>
      <c r="C164" s="311"/>
      <c r="D164" s="312"/>
      <c r="E164" s="312"/>
      <c r="F164" s="312"/>
      <c r="G164" s="312"/>
      <c r="H164" s="312"/>
      <c r="I164" s="312"/>
      <c r="J164" s="312"/>
      <c r="K164" s="312"/>
      <c r="L164" s="273"/>
    </row>
    <row r="165" spans="2:16" ht="11.25">
      <c r="B165" s="260"/>
      <c r="C165" s="313"/>
      <c r="D165" s="265"/>
      <c r="E165" s="265"/>
      <c r="F165" s="265"/>
      <c r="G165" s="265"/>
      <c r="H165" s="265"/>
      <c r="I165" s="265"/>
      <c r="J165" s="265"/>
      <c r="K165" s="265"/>
      <c r="L165" s="263"/>
    </row>
    <row r="166" spans="2:16" ht="11.25">
      <c r="B166" s="264"/>
      <c r="C166" s="314" t="s">
        <v>56</v>
      </c>
      <c r="D166" s="315" t="s">
        <v>77</v>
      </c>
      <c r="E166" s="265"/>
      <c r="F166" s="265"/>
      <c r="G166" s="265"/>
      <c r="H166" s="265"/>
      <c r="I166" s="265"/>
      <c r="J166" s="265"/>
      <c r="K166" s="316"/>
      <c r="L166" s="267"/>
    </row>
    <row r="167" spans="2:16" ht="11.25">
      <c r="B167" s="264"/>
      <c r="C167" s="317"/>
      <c r="D167" s="491" t="s">
        <v>89</v>
      </c>
      <c r="E167" s="491"/>
      <c r="F167" s="491"/>
      <c r="G167" s="491"/>
      <c r="H167" s="491"/>
      <c r="I167" s="491"/>
      <c r="J167" s="491"/>
      <c r="K167" s="492"/>
      <c r="L167" s="267"/>
    </row>
    <row r="168" spans="2:16" ht="11.25">
      <c r="B168" s="264"/>
      <c r="C168" s="318"/>
      <c r="D168" s="501"/>
      <c r="E168" s="501"/>
      <c r="F168" s="501"/>
      <c r="G168" s="501"/>
      <c r="H168" s="501"/>
      <c r="I168" s="501"/>
      <c r="J168" s="501"/>
      <c r="K168" s="502"/>
      <c r="L168" s="267"/>
    </row>
    <row r="169" spans="2:16" ht="11.25">
      <c r="B169" s="264"/>
      <c r="C169" s="319"/>
      <c r="D169" s="290"/>
      <c r="E169" s="252"/>
      <c r="F169" s="252"/>
      <c r="G169" s="252"/>
      <c r="H169" s="252"/>
      <c r="I169" s="252"/>
      <c r="J169" s="252"/>
      <c r="K169" s="252"/>
      <c r="L169" s="267"/>
    </row>
    <row r="170" spans="2:16" ht="11.25">
      <c r="B170" s="264"/>
      <c r="C170" s="314" t="s">
        <v>60</v>
      </c>
      <c r="D170" s="315" t="s">
        <v>78</v>
      </c>
      <c r="E170" s="265"/>
      <c r="F170" s="265"/>
      <c r="G170" s="265"/>
      <c r="H170" s="265"/>
      <c r="I170" s="265"/>
      <c r="J170" s="265"/>
      <c r="K170" s="316"/>
      <c r="L170" s="267"/>
    </row>
    <row r="171" spans="2:16" ht="11.25">
      <c r="B171" s="264"/>
      <c r="C171" s="318"/>
      <c r="D171" s="320"/>
      <c r="E171" s="312"/>
      <c r="F171" s="312"/>
      <c r="G171" s="312"/>
      <c r="H171" s="312"/>
      <c r="I171" s="312"/>
      <c r="J171" s="312"/>
      <c r="K171" s="321"/>
      <c r="L171" s="267"/>
    </row>
    <row r="172" spans="2:16" ht="11.25">
      <c r="B172" s="270"/>
      <c r="C172" s="311"/>
      <c r="D172" s="320"/>
      <c r="E172" s="312"/>
      <c r="F172" s="312"/>
      <c r="G172" s="312"/>
      <c r="H172" s="312"/>
      <c r="I172" s="312"/>
      <c r="J172" s="312"/>
      <c r="K172" s="312"/>
      <c r="L172" s="273"/>
    </row>
    <row r="173" spans="2:16" ht="11.25">
      <c r="C173" s="251"/>
      <c r="D173" s="252"/>
      <c r="E173" s="252"/>
      <c r="F173" s="252"/>
      <c r="G173" s="252"/>
      <c r="H173" s="252"/>
      <c r="I173" s="252"/>
      <c r="J173" s="252"/>
      <c r="K173" s="252"/>
      <c r="N173" s="253"/>
      <c r="O173" s="253"/>
      <c r="P173" s="253"/>
    </row>
    <row r="174" spans="2:16" ht="11.25">
      <c r="B174" s="260"/>
      <c r="C174" s="313"/>
      <c r="D174" s="265"/>
      <c r="E174" s="265"/>
      <c r="F174" s="265"/>
      <c r="G174" s="265"/>
      <c r="H174" s="265"/>
      <c r="I174" s="265"/>
      <c r="J174" s="265"/>
      <c r="K174" s="265"/>
      <c r="L174" s="263"/>
    </row>
    <row r="175" spans="2:16" ht="11.25">
      <c r="B175" s="264"/>
      <c r="C175" s="314"/>
      <c r="D175" s="315" t="s">
        <v>90</v>
      </c>
      <c r="E175" s="265"/>
      <c r="F175" s="265"/>
      <c r="G175" s="265"/>
      <c r="H175" s="265"/>
      <c r="I175" s="265"/>
      <c r="J175" s="265"/>
      <c r="K175" s="316"/>
      <c r="L175" s="267"/>
    </row>
    <row r="176" spans="2:16" ht="11.25">
      <c r="B176" s="264"/>
      <c r="C176" s="317" t="s">
        <v>56</v>
      </c>
      <c r="D176" s="491" t="s">
        <v>401</v>
      </c>
      <c r="E176" s="491"/>
      <c r="F176" s="491"/>
      <c r="G176" s="491"/>
      <c r="H176" s="491"/>
      <c r="I176" s="491"/>
      <c r="J176" s="491"/>
      <c r="K176" s="492"/>
      <c r="L176" s="267"/>
      <c r="N176" s="249">
        <f>8.3*1.35</f>
        <v>11.205</v>
      </c>
    </row>
    <row r="177" spans="2:14" ht="11.25">
      <c r="B177" s="264"/>
      <c r="C177" s="317" t="s">
        <v>60</v>
      </c>
      <c r="D177" s="323" t="s">
        <v>402</v>
      </c>
      <c r="E177" s="323"/>
      <c r="F177" s="323"/>
      <c r="G177" s="323"/>
      <c r="H177" s="323"/>
      <c r="I177" s="323"/>
      <c r="J177" s="323"/>
      <c r="K177" s="324"/>
      <c r="L177" s="267"/>
      <c r="N177" s="249">
        <f>1.35*0.25*3</f>
        <v>1.0125</v>
      </c>
    </row>
    <row r="178" spans="2:14" ht="11.25">
      <c r="B178" s="264"/>
      <c r="C178" s="317" t="s">
        <v>61</v>
      </c>
      <c r="D178" s="323" t="s">
        <v>403</v>
      </c>
      <c r="E178" s="323"/>
      <c r="F178" s="323"/>
      <c r="G178" s="323"/>
      <c r="H178" s="323"/>
      <c r="I178" s="323"/>
      <c r="J178" s="323"/>
      <c r="K178" s="324"/>
      <c r="L178" s="267"/>
      <c r="N178" s="249">
        <f>N176-N177</f>
        <v>10.192500000000001</v>
      </c>
    </row>
    <row r="179" spans="2:14" ht="11.25">
      <c r="B179" s="264"/>
      <c r="C179" s="317"/>
      <c r="D179" s="323"/>
      <c r="E179" s="323"/>
      <c r="F179" s="323"/>
      <c r="G179" s="323"/>
      <c r="H179" s="323"/>
      <c r="I179" s="323"/>
      <c r="J179" s="323"/>
      <c r="K179" s="324"/>
      <c r="L179" s="267"/>
    </row>
    <row r="180" spans="2:14" ht="11.25">
      <c r="B180" s="264"/>
      <c r="C180" s="318"/>
      <c r="D180" s="320" t="s">
        <v>404</v>
      </c>
      <c r="E180" s="312"/>
      <c r="F180" s="312"/>
      <c r="G180" s="312"/>
      <c r="H180" s="312"/>
      <c r="I180" s="312"/>
      <c r="J180" s="312"/>
      <c r="K180" s="321"/>
      <c r="L180" s="267"/>
    </row>
    <row r="181" spans="2:14" ht="11.25">
      <c r="B181" s="270"/>
      <c r="C181" s="311"/>
      <c r="D181" s="320"/>
      <c r="E181" s="312"/>
      <c r="F181" s="312"/>
      <c r="G181" s="312"/>
      <c r="H181" s="312"/>
      <c r="I181" s="312"/>
      <c r="J181" s="312"/>
      <c r="K181" s="312"/>
      <c r="L181" s="273"/>
    </row>
    <row r="182" spans="2:14">
      <c r="B182" s="260"/>
      <c r="C182" s="261"/>
      <c r="D182" s="262"/>
      <c r="E182" s="262"/>
      <c r="F182" s="262"/>
      <c r="G182" s="262"/>
      <c r="H182" s="262"/>
      <c r="I182" s="262"/>
      <c r="J182" s="262"/>
      <c r="K182" s="262"/>
      <c r="L182" s="263"/>
    </row>
    <row r="183" spans="2:14" ht="28.9" customHeight="1">
      <c r="B183" s="254"/>
      <c r="C183" s="506" t="s">
        <v>39</v>
      </c>
      <c r="D183" s="507"/>
      <c r="E183" s="507"/>
      <c r="F183" s="507"/>
      <c r="G183" s="507"/>
      <c r="H183" s="507"/>
      <c r="I183" s="507"/>
      <c r="J183" s="507"/>
      <c r="K183" s="508"/>
      <c r="L183" s="255"/>
    </row>
    <row r="184" spans="2:14" ht="5.0999999999999996" customHeight="1">
      <c r="B184" s="256"/>
      <c r="C184" s="257"/>
      <c r="D184" s="257"/>
      <c r="E184" s="257"/>
      <c r="F184" s="257"/>
      <c r="G184" s="257"/>
      <c r="H184" s="257"/>
      <c r="I184" s="257"/>
      <c r="J184" s="257"/>
      <c r="K184" s="257"/>
      <c r="L184" s="258"/>
    </row>
    <row r="185" spans="2:14" ht="9.9499999999999993" customHeight="1">
      <c r="B185" s="259"/>
      <c r="C185" s="259"/>
      <c r="D185" s="259"/>
      <c r="E185" s="259"/>
      <c r="F185" s="259"/>
      <c r="G185" s="259"/>
      <c r="H185" s="259"/>
      <c r="I185" s="259"/>
      <c r="J185" s="259"/>
      <c r="K185" s="259"/>
      <c r="L185" s="259"/>
    </row>
    <row r="186" spans="2:14" ht="5.0999999999999996" customHeight="1">
      <c r="B186" s="260"/>
      <c r="C186" s="261"/>
      <c r="D186" s="262"/>
      <c r="E186" s="262"/>
      <c r="F186" s="262"/>
      <c r="G186" s="262"/>
      <c r="H186" s="262"/>
      <c r="I186" s="262"/>
      <c r="J186" s="262"/>
      <c r="K186" s="262"/>
      <c r="L186" s="263"/>
    </row>
    <row r="187" spans="2:14" ht="15" customHeight="1">
      <c r="B187" s="264"/>
      <c r="C187" s="495" t="s">
        <v>40</v>
      </c>
      <c r="D187" s="496"/>
      <c r="E187" s="265"/>
      <c r="F187" s="265"/>
      <c r="G187" s="265"/>
      <c r="H187" s="266" t="s">
        <v>41</v>
      </c>
      <c r="I187" s="266" t="s">
        <v>42</v>
      </c>
      <c r="J187" s="266" t="s">
        <v>43</v>
      </c>
      <c r="K187" s="266" t="s">
        <v>44</v>
      </c>
      <c r="L187" s="267"/>
    </row>
    <row r="188" spans="2:14" ht="35.1" customHeight="1">
      <c r="B188" s="264"/>
      <c r="C188" s="322" t="s">
        <v>95</v>
      </c>
      <c r="D188" s="271"/>
      <c r="E188" s="271"/>
      <c r="F188" s="271"/>
      <c r="G188" s="271"/>
      <c r="H188" s="268" t="s">
        <v>96</v>
      </c>
      <c r="I188" s="268" t="s">
        <v>405</v>
      </c>
      <c r="J188" s="269" t="s">
        <v>45</v>
      </c>
      <c r="K188" s="269" t="s">
        <v>363</v>
      </c>
      <c r="L188" s="267"/>
    </row>
    <row r="189" spans="2:14" ht="5.0999999999999996" customHeight="1">
      <c r="B189" s="270"/>
      <c r="C189" s="271"/>
      <c r="D189" s="271"/>
      <c r="E189" s="271"/>
      <c r="F189" s="271"/>
      <c r="G189" s="271"/>
      <c r="H189" s="271"/>
      <c r="I189" s="271"/>
      <c r="J189" s="272"/>
      <c r="K189" s="272"/>
      <c r="L189" s="273"/>
    </row>
    <row r="190" spans="2:14" ht="9.9499999999999993" customHeight="1">
      <c r="B190" s="274"/>
      <c r="C190" s="275"/>
      <c r="D190" s="275"/>
      <c r="E190" s="275"/>
      <c r="F190" s="275"/>
      <c r="G190" s="275"/>
      <c r="H190" s="275"/>
      <c r="I190" s="275"/>
      <c r="J190" s="276"/>
      <c r="K190" s="276"/>
      <c r="L190" s="274"/>
    </row>
    <row r="191" spans="2:14" ht="5.0999999999999996" customHeight="1">
      <c r="B191" s="260"/>
      <c r="C191" s="261"/>
      <c r="D191" s="262"/>
      <c r="E191" s="262"/>
      <c r="F191" s="262"/>
      <c r="G191" s="262"/>
      <c r="H191" s="262"/>
      <c r="I191" s="262"/>
      <c r="J191" s="262"/>
      <c r="K191" s="262"/>
      <c r="L191" s="263"/>
    </row>
    <row r="192" spans="2:14" s="279" customFormat="1" ht="21.95" customHeight="1">
      <c r="B192" s="277"/>
      <c r="C192" s="500" t="s">
        <v>46</v>
      </c>
      <c r="D192" s="490" t="s">
        <v>47</v>
      </c>
      <c r="E192" s="490" t="s">
        <v>48</v>
      </c>
      <c r="F192" s="490" t="s">
        <v>49</v>
      </c>
      <c r="G192" s="490" t="s">
        <v>50</v>
      </c>
      <c r="H192" s="490" t="s">
        <v>51</v>
      </c>
      <c r="I192" s="490"/>
      <c r="J192" s="490"/>
      <c r="K192" s="490" t="s">
        <v>52</v>
      </c>
      <c r="L192" s="278"/>
    </row>
    <row r="193" spans="2:16" s="279" customFormat="1" ht="21.95" customHeight="1">
      <c r="B193" s="277"/>
      <c r="C193" s="500"/>
      <c r="D193" s="490"/>
      <c r="E193" s="490"/>
      <c r="F193" s="490"/>
      <c r="G193" s="490"/>
      <c r="H193" s="280" t="s">
        <v>53</v>
      </c>
      <c r="I193" s="280" t="s">
        <v>54</v>
      </c>
      <c r="J193" s="280" t="s">
        <v>55</v>
      </c>
      <c r="K193" s="490"/>
      <c r="L193" s="278"/>
    </row>
    <row r="194" spans="2:16" ht="5.0999999999999996" customHeight="1">
      <c r="B194" s="264"/>
      <c r="C194" s="251"/>
      <c r="D194" s="252"/>
      <c r="E194" s="252"/>
      <c r="F194" s="252"/>
      <c r="G194" s="252"/>
      <c r="H194" s="252"/>
      <c r="I194" s="252"/>
      <c r="J194" s="252"/>
      <c r="K194" s="252"/>
      <c r="L194" s="267"/>
    </row>
    <row r="195" spans="2:16" ht="11.25">
      <c r="B195" s="264"/>
      <c r="C195" s="281" t="s">
        <v>56</v>
      </c>
      <c r="D195" s="282" t="s">
        <v>97</v>
      </c>
      <c r="E195" s="280" t="s">
        <v>58</v>
      </c>
      <c r="F195" s="287">
        <v>1.1200000000000001</v>
      </c>
      <c r="G195" s="283">
        <v>60</v>
      </c>
      <c r="H195" s="283">
        <f>ROUND(F195*G195,2)</f>
        <v>67.2</v>
      </c>
      <c r="I195" s="283"/>
      <c r="J195" s="283"/>
      <c r="K195" s="284" t="s">
        <v>98</v>
      </c>
      <c r="L195" s="267"/>
      <c r="N195" s="285"/>
      <c r="O195" s="286"/>
      <c r="P195" s="285"/>
    </row>
    <row r="196" spans="2:16" ht="11.25">
      <c r="B196" s="264"/>
      <c r="C196" s="281" t="s">
        <v>60</v>
      </c>
      <c r="D196" s="282" t="s">
        <v>65</v>
      </c>
      <c r="E196" s="280" t="s">
        <v>64</v>
      </c>
      <c r="F196" s="287">
        <v>1</v>
      </c>
      <c r="G196" s="283">
        <v>11.96</v>
      </c>
      <c r="H196" s="283"/>
      <c r="I196" s="283"/>
      <c r="J196" s="283">
        <f>ROUND(F196*G196,2)</f>
        <v>11.96</v>
      </c>
      <c r="K196" s="284" t="s">
        <v>66</v>
      </c>
      <c r="L196" s="267"/>
      <c r="N196" s="285"/>
      <c r="O196" s="286"/>
      <c r="P196" s="285"/>
    </row>
    <row r="197" spans="2:16" ht="11.25">
      <c r="B197" s="264"/>
      <c r="C197" s="281"/>
      <c r="D197" s="282"/>
      <c r="E197" s="280"/>
      <c r="F197" s="287"/>
      <c r="G197" s="283"/>
      <c r="H197" s="283"/>
      <c r="I197" s="283"/>
      <c r="J197" s="283"/>
      <c r="K197" s="284"/>
      <c r="L197" s="267"/>
      <c r="N197" s="285"/>
      <c r="O197" s="286"/>
      <c r="P197" s="285"/>
    </row>
    <row r="198" spans="2:16" ht="11.25">
      <c r="B198" s="264"/>
      <c r="C198" s="281"/>
      <c r="D198" s="282"/>
      <c r="E198" s="280"/>
      <c r="F198" s="287"/>
      <c r="G198" s="283"/>
      <c r="H198" s="283"/>
      <c r="I198" s="283"/>
      <c r="J198" s="283"/>
      <c r="K198" s="284"/>
      <c r="L198" s="267"/>
      <c r="N198" s="285"/>
      <c r="O198" s="286"/>
      <c r="P198" s="285"/>
    </row>
    <row r="199" spans="2:16" ht="11.25">
      <c r="B199" s="264"/>
      <c r="C199" s="281"/>
      <c r="D199" s="282"/>
      <c r="E199" s="280"/>
      <c r="F199" s="287"/>
      <c r="G199" s="283"/>
      <c r="H199" s="283"/>
      <c r="I199" s="283"/>
      <c r="J199" s="283"/>
      <c r="K199" s="284"/>
      <c r="L199" s="267"/>
      <c r="N199" s="285"/>
      <c r="O199" s="286"/>
      <c r="P199" s="285"/>
    </row>
    <row r="200" spans="2:16" ht="11.25">
      <c r="B200" s="264"/>
      <c r="C200" s="281"/>
      <c r="D200" s="282"/>
      <c r="E200" s="280"/>
      <c r="F200" s="287"/>
      <c r="G200" s="283"/>
      <c r="H200" s="283"/>
      <c r="I200" s="283"/>
      <c r="J200" s="283"/>
      <c r="K200" s="284"/>
      <c r="L200" s="267"/>
      <c r="N200" s="285"/>
      <c r="O200" s="286"/>
      <c r="P200" s="285"/>
    </row>
    <row r="201" spans="2:16" ht="11.25">
      <c r="B201" s="264"/>
      <c r="C201" s="281"/>
      <c r="D201" s="282"/>
      <c r="E201" s="280"/>
      <c r="F201" s="287"/>
      <c r="G201" s="283"/>
      <c r="H201" s="283"/>
      <c r="I201" s="283"/>
      <c r="J201" s="283"/>
      <c r="K201" s="284"/>
      <c r="L201" s="267"/>
      <c r="N201" s="285"/>
      <c r="O201" s="286"/>
      <c r="P201" s="285"/>
    </row>
    <row r="202" spans="2:16" ht="11.25">
      <c r="B202" s="264"/>
      <c r="C202" s="281"/>
      <c r="D202" s="282"/>
      <c r="E202" s="280"/>
      <c r="F202" s="287"/>
      <c r="G202" s="283"/>
      <c r="H202" s="283"/>
      <c r="I202" s="283"/>
      <c r="J202" s="283"/>
      <c r="K202" s="284"/>
      <c r="L202" s="267"/>
      <c r="N202" s="285"/>
      <c r="O202" s="286"/>
      <c r="P202" s="285"/>
    </row>
    <row r="203" spans="2:16" ht="11.25">
      <c r="B203" s="264"/>
      <c r="C203" s="281"/>
      <c r="D203" s="282"/>
      <c r="E203" s="280"/>
      <c r="F203" s="287"/>
      <c r="G203" s="283"/>
      <c r="H203" s="283"/>
      <c r="I203" s="283"/>
      <c r="J203" s="283"/>
      <c r="K203" s="284"/>
      <c r="L203" s="267"/>
      <c r="N203" s="285"/>
      <c r="O203" s="286"/>
      <c r="P203" s="285"/>
    </row>
    <row r="204" spans="2:16" ht="11.25">
      <c r="B204" s="264"/>
      <c r="C204" s="281"/>
      <c r="D204" s="282"/>
      <c r="E204" s="280"/>
      <c r="F204" s="287"/>
      <c r="G204" s="283"/>
      <c r="H204" s="283"/>
      <c r="I204" s="283"/>
      <c r="J204" s="283"/>
      <c r="K204" s="284"/>
      <c r="L204" s="267"/>
      <c r="N204" s="285"/>
      <c r="O204" s="286"/>
      <c r="P204" s="285"/>
    </row>
    <row r="205" spans="2:16" ht="11.25">
      <c r="B205" s="264"/>
      <c r="C205" s="281"/>
      <c r="D205" s="282"/>
      <c r="E205" s="280"/>
      <c r="F205" s="287"/>
      <c r="G205" s="283"/>
      <c r="H205" s="283"/>
      <c r="I205" s="283"/>
      <c r="J205" s="283"/>
      <c r="K205" s="284"/>
      <c r="L205" s="267"/>
      <c r="N205" s="285"/>
      <c r="O205" s="286"/>
      <c r="P205" s="285"/>
    </row>
    <row r="206" spans="2:16" ht="11.25">
      <c r="B206" s="264"/>
      <c r="C206" s="281"/>
      <c r="D206" s="282"/>
      <c r="E206" s="280"/>
      <c r="F206" s="287"/>
      <c r="G206" s="283"/>
      <c r="H206" s="283"/>
      <c r="I206" s="283"/>
      <c r="J206" s="283"/>
      <c r="K206" s="284"/>
      <c r="L206" s="267"/>
      <c r="N206" s="285"/>
      <c r="O206" s="286"/>
      <c r="P206" s="285"/>
    </row>
    <row r="207" spans="2:16" ht="11.25">
      <c r="B207" s="264"/>
      <c r="C207" s="281"/>
      <c r="D207" s="282"/>
      <c r="E207" s="280"/>
      <c r="F207" s="287"/>
      <c r="G207" s="283"/>
      <c r="H207" s="283"/>
      <c r="I207" s="283"/>
      <c r="J207" s="283"/>
      <c r="K207" s="284"/>
      <c r="L207" s="267"/>
      <c r="N207" s="285"/>
      <c r="O207" s="286"/>
      <c r="P207" s="285"/>
    </row>
    <row r="208" spans="2:16" ht="11.25">
      <c r="B208" s="264"/>
      <c r="C208" s="281"/>
      <c r="D208" s="282"/>
      <c r="E208" s="280"/>
      <c r="F208" s="287"/>
      <c r="G208" s="283"/>
      <c r="H208" s="283"/>
      <c r="I208" s="283"/>
      <c r="J208" s="283"/>
      <c r="K208" s="284"/>
      <c r="L208" s="267"/>
      <c r="N208" s="285"/>
      <c r="O208" s="286"/>
      <c r="P208" s="285"/>
    </row>
    <row r="209" spans="2:16" ht="11.25">
      <c r="B209" s="264"/>
      <c r="C209" s="281"/>
      <c r="D209" s="282"/>
      <c r="E209" s="280"/>
      <c r="F209" s="287"/>
      <c r="G209" s="283"/>
      <c r="H209" s="283"/>
      <c r="I209" s="283"/>
      <c r="J209" s="283"/>
      <c r="K209" s="284"/>
      <c r="L209" s="267"/>
      <c r="N209" s="285"/>
      <c r="O209" s="286"/>
      <c r="P209" s="285"/>
    </row>
    <row r="210" spans="2:16" ht="11.25">
      <c r="B210" s="264"/>
      <c r="C210" s="281"/>
      <c r="D210" s="282"/>
      <c r="E210" s="280"/>
      <c r="F210" s="287"/>
      <c r="G210" s="283"/>
      <c r="H210" s="283"/>
      <c r="I210" s="283"/>
      <c r="J210" s="283"/>
      <c r="K210" s="284"/>
      <c r="L210" s="267"/>
      <c r="N210" s="285"/>
      <c r="O210" s="286"/>
      <c r="P210" s="285"/>
    </row>
    <row r="211" spans="2:16" ht="11.25">
      <c r="B211" s="264"/>
      <c r="C211" s="281"/>
      <c r="D211" s="282"/>
      <c r="E211" s="280"/>
      <c r="F211" s="287"/>
      <c r="G211" s="283"/>
      <c r="H211" s="283"/>
      <c r="I211" s="283"/>
      <c r="J211" s="283"/>
      <c r="K211" s="284"/>
      <c r="L211" s="267"/>
      <c r="N211" s="285"/>
      <c r="O211" s="286"/>
      <c r="P211" s="285"/>
    </row>
    <row r="212" spans="2:16" ht="11.25">
      <c r="B212" s="264"/>
      <c r="C212" s="281"/>
      <c r="D212" s="282"/>
      <c r="E212" s="280"/>
      <c r="F212" s="287"/>
      <c r="G212" s="283"/>
      <c r="H212" s="283"/>
      <c r="I212" s="283"/>
      <c r="J212" s="283"/>
      <c r="K212" s="284"/>
      <c r="L212" s="267"/>
      <c r="N212" s="285"/>
      <c r="O212" s="286"/>
      <c r="P212" s="285"/>
    </row>
    <row r="213" spans="2:16" ht="11.25">
      <c r="B213" s="264"/>
      <c r="C213" s="281"/>
      <c r="D213" s="282"/>
      <c r="E213" s="280"/>
      <c r="F213" s="287"/>
      <c r="G213" s="283"/>
      <c r="H213" s="283"/>
      <c r="I213" s="283"/>
      <c r="J213" s="283"/>
      <c r="K213" s="284"/>
      <c r="L213" s="267"/>
      <c r="N213" s="285"/>
      <c r="O213" s="286"/>
      <c r="P213" s="285"/>
    </row>
    <row r="214" spans="2:16" ht="11.25">
      <c r="B214" s="264"/>
      <c r="C214" s="281"/>
      <c r="D214" s="282"/>
      <c r="E214" s="280"/>
      <c r="F214" s="287"/>
      <c r="G214" s="283"/>
      <c r="H214" s="283"/>
      <c r="I214" s="283"/>
      <c r="J214" s="283"/>
      <c r="K214" s="284"/>
      <c r="L214" s="267"/>
      <c r="N214" s="285"/>
      <c r="O214" s="286"/>
      <c r="P214" s="285"/>
    </row>
    <row r="215" spans="2:16" ht="11.25">
      <c r="B215" s="264"/>
      <c r="C215" s="281"/>
      <c r="D215" s="282"/>
      <c r="E215" s="280"/>
      <c r="F215" s="287"/>
      <c r="G215" s="283"/>
      <c r="H215" s="283"/>
      <c r="I215" s="283"/>
      <c r="J215" s="283"/>
      <c r="K215" s="284"/>
      <c r="L215" s="267"/>
      <c r="N215" s="285"/>
      <c r="O215" s="286"/>
      <c r="P215" s="285"/>
    </row>
    <row r="216" spans="2:16" ht="11.25">
      <c r="B216" s="264"/>
      <c r="C216" s="281"/>
      <c r="D216" s="282"/>
      <c r="E216" s="280"/>
      <c r="F216" s="287"/>
      <c r="G216" s="283"/>
      <c r="H216" s="283"/>
      <c r="I216" s="283"/>
      <c r="J216" s="283"/>
      <c r="K216" s="284"/>
      <c r="L216" s="267"/>
      <c r="N216" s="285"/>
      <c r="O216" s="286"/>
      <c r="P216" s="285"/>
    </row>
    <row r="217" spans="2:16" ht="11.25">
      <c r="B217" s="264"/>
      <c r="C217" s="281"/>
      <c r="D217" s="282"/>
      <c r="E217" s="280"/>
      <c r="F217" s="287"/>
      <c r="G217" s="283"/>
      <c r="H217" s="283"/>
      <c r="I217" s="283"/>
      <c r="J217" s="283"/>
      <c r="K217" s="284"/>
      <c r="L217" s="267"/>
      <c r="N217" s="285"/>
      <c r="O217" s="286"/>
      <c r="P217" s="285"/>
    </row>
    <row r="218" spans="2:16" ht="11.25">
      <c r="B218" s="264"/>
      <c r="C218" s="281"/>
      <c r="D218" s="282"/>
      <c r="E218" s="280"/>
      <c r="F218" s="287"/>
      <c r="G218" s="283"/>
      <c r="H218" s="283"/>
      <c r="I218" s="283"/>
      <c r="J218" s="283"/>
      <c r="K218" s="284"/>
      <c r="L218" s="267"/>
      <c r="N218" s="285"/>
      <c r="O218" s="286"/>
      <c r="P218" s="285"/>
    </row>
    <row r="219" spans="2:16" ht="11.25">
      <c r="B219" s="264"/>
      <c r="C219" s="281"/>
      <c r="D219" s="282"/>
      <c r="E219" s="280"/>
      <c r="F219" s="287"/>
      <c r="G219" s="283"/>
      <c r="H219" s="283"/>
      <c r="I219" s="283"/>
      <c r="J219" s="283"/>
      <c r="K219" s="284"/>
      <c r="L219" s="267"/>
      <c r="N219" s="285"/>
      <c r="O219" s="286"/>
      <c r="P219" s="285"/>
    </row>
    <row r="220" spans="2:16" ht="11.25">
      <c r="B220" s="264"/>
      <c r="C220" s="281"/>
      <c r="D220" s="282"/>
      <c r="E220" s="280"/>
      <c r="F220" s="287"/>
      <c r="G220" s="283"/>
      <c r="H220" s="283"/>
      <c r="I220" s="283"/>
      <c r="J220" s="283"/>
      <c r="K220" s="284"/>
      <c r="L220" s="267"/>
      <c r="N220" s="285"/>
      <c r="O220" s="286"/>
      <c r="P220" s="285"/>
    </row>
    <row r="221" spans="2:16" ht="11.25">
      <c r="B221" s="264"/>
      <c r="C221" s="281"/>
      <c r="D221" s="282"/>
      <c r="E221" s="280"/>
      <c r="F221" s="287"/>
      <c r="G221" s="283"/>
      <c r="H221" s="283"/>
      <c r="I221" s="283"/>
      <c r="J221" s="283"/>
      <c r="K221" s="284"/>
      <c r="L221" s="267"/>
      <c r="N221" s="285"/>
      <c r="O221" s="286"/>
      <c r="P221" s="285"/>
    </row>
    <row r="222" spans="2:16" ht="11.25">
      <c r="B222" s="264"/>
      <c r="C222" s="281"/>
      <c r="D222" s="282"/>
      <c r="E222" s="280"/>
      <c r="F222" s="287"/>
      <c r="G222" s="283"/>
      <c r="H222" s="283"/>
      <c r="I222" s="283"/>
      <c r="J222" s="283"/>
      <c r="K222" s="284"/>
      <c r="L222" s="267"/>
      <c r="N222" s="285"/>
      <c r="O222" s="286"/>
      <c r="P222" s="285"/>
    </row>
    <row r="223" spans="2:16" ht="11.25">
      <c r="B223" s="264"/>
      <c r="C223" s="281"/>
      <c r="D223" s="282"/>
      <c r="E223" s="280"/>
      <c r="F223" s="287"/>
      <c r="G223" s="283"/>
      <c r="H223" s="283"/>
      <c r="I223" s="283"/>
      <c r="J223" s="283"/>
      <c r="K223" s="284"/>
      <c r="L223" s="267"/>
      <c r="N223" s="285"/>
      <c r="O223" s="286"/>
      <c r="P223" s="285"/>
    </row>
    <row r="224" spans="2:16" ht="11.25">
      <c r="B224" s="264"/>
      <c r="C224" s="281"/>
      <c r="D224" s="282"/>
      <c r="E224" s="280"/>
      <c r="F224" s="287"/>
      <c r="G224" s="283"/>
      <c r="H224" s="283"/>
      <c r="I224" s="283"/>
      <c r="J224" s="283"/>
      <c r="K224" s="284"/>
      <c r="L224" s="267"/>
      <c r="N224" s="285"/>
      <c r="O224" s="286"/>
      <c r="P224" s="285"/>
    </row>
    <row r="225" spans="2:16" ht="11.25">
      <c r="B225" s="264"/>
      <c r="C225" s="281"/>
      <c r="D225" s="282"/>
      <c r="E225" s="280"/>
      <c r="F225" s="287"/>
      <c r="G225" s="283"/>
      <c r="H225" s="283"/>
      <c r="I225" s="283"/>
      <c r="J225" s="283"/>
      <c r="K225" s="284"/>
      <c r="L225" s="267"/>
      <c r="N225" s="285"/>
      <c r="O225" s="286"/>
      <c r="P225" s="285"/>
    </row>
    <row r="226" spans="2:16" ht="11.25">
      <c r="B226" s="264"/>
      <c r="C226" s="281"/>
      <c r="D226" s="282"/>
      <c r="E226" s="280"/>
      <c r="F226" s="287"/>
      <c r="G226" s="283"/>
      <c r="H226" s="283"/>
      <c r="I226" s="283"/>
      <c r="J226" s="283"/>
      <c r="K226" s="284"/>
      <c r="L226" s="267"/>
      <c r="N226" s="285"/>
      <c r="O226" s="286"/>
      <c r="P226" s="285"/>
    </row>
    <row r="227" spans="2:16" ht="11.25">
      <c r="B227" s="264"/>
      <c r="C227" s="281"/>
      <c r="D227" s="282"/>
      <c r="E227" s="280"/>
      <c r="F227" s="287"/>
      <c r="G227" s="283"/>
      <c r="H227" s="283"/>
      <c r="I227" s="283"/>
      <c r="J227" s="283"/>
      <c r="K227" s="284"/>
      <c r="L227" s="267"/>
      <c r="N227" s="285"/>
      <c r="O227" s="286"/>
      <c r="P227" s="285"/>
    </row>
    <row r="228" spans="2:16" ht="11.25">
      <c r="B228" s="264"/>
      <c r="C228" s="281"/>
      <c r="D228" s="282"/>
      <c r="E228" s="280"/>
      <c r="F228" s="287"/>
      <c r="G228" s="283"/>
      <c r="H228" s="283"/>
      <c r="I228" s="283"/>
      <c r="J228" s="283"/>
      <c r="K228" s="284"/>
      <c r="L228" s="267"/>
      <c r="N228" s="285"/>
      <c r="O228" s="286"/>
      <c r="P228" s="285"/>
    </row>
    <row r="229" spans="2:16" ht="11.25">
      <c r="B229" s="264"/>
      <c r="C229" s="281"/>
      <c r="D229" s="282"/>
      <c r="E229" s="280"/>
      <c r="F229" s="287"/>
      <c r="G229" s="283"/>
      <c r="H229" s="283"/>
      <c r="I229" s="283"/>
      <c r="J229" s="283"/>
      <c r="K229" s="284"/>
      <c r="L229" s="267"/>
      <c r="N229" s="285"/>
      <c r="O229" s="286"/>
      <c r="P229" s="285"/>
    </row>
    <row r="230" spans="2:16" ht="11.25">
      <c r="B230" s="264"/>
      <c r="C230" s="281"/>
      <c r="D230" s="282"/>
      <c r="E230" s="280"/>
      <c r="F230" s="287"/>
      <c r="G230" s="283"/>
      <c r="H230" s="283"/>
      <c r="I230" s="283"/>
      <c r="J230" s="283"/>
      <c r="K230" s="284"/>
      <c r="L230" s="267"/>
      <c r="N230" s="285"/>
      <c r="O230" s="286"/>
      <c r="P230" s="285"/>
    </row>
    <row r="231" spans="2:16" ht="11.25">
      <c r="B231" s="264"/>
      <c r="C231" s="281"/>
      <c r="D231" s="282"/>
      <c r="E231" s="280"/>
      <c r="F231" s="287"/>
      <c r="G231" s="283"/>
      <c r="H231" s="283"/>
      <c r="I231" s="283"/>
      <c r="J231" s="283"/>
      <c r="K231" s="284"/>
      <c r="L231" s="267"/>
      <c r="N231" s="285"/>
      <c r="O231" s="286"/>
      <c r="P231" s="285"/>
    </row>
    <row r="232" spans="2:16" ht="11.25">
      <c r="B232" s="264"/>
      <c r="C232" s="281"/>
      <c r="D232" s="282"/>
      <c r="E232" s="280"/>
      <c r="F232" s="287"/>
      <c r="G232" s="283"/>
      <c r="H232" s="283"/>
      <c r="I232" s="283"/>
      <c r="J232" s="283"/>
      <c r="K232" s="284"/>
      <c r="L232" s="267"/>
      <c r="N232" s="285"/>
      <c r="O232" s="286"/>
      <c r="P232" s="285"/>
    </row>
    <row r="233" spans="2:16" ht="11.25">
      <c r="B233" s="264"/>
      <c r="C233" s="281"/>
      <c r="D233" s="282"/>
      <c r="E233" s="280"/>
      <c r="F233" s="287"/>
      <c r="G233" s="283"/>
      <c r="H233" s="283"/>
      <c r="I233" s="283"/>
      <c r="J233" s="283"/>
      <c r="K233" s="284"/>
      <c r="L233" s="267"/>
      <c r="N233" s="285"/>
      <c r="O233" s="286"/>
      <c r="P233" s="285"/>
    </row>
    <row r="234" spans="2:16" ht="11.25">
      <c r="B234" s="264"/>
      <c r="C234" s="281"/>
      <c r="D234" s="282"/>
      <c r="E234" s="280"/>
      <c r="F234" s="287"/>
      <c r="G234" s="283"/>
      <c r="H234" s="283"/>
      <c r="I234" s="283"/>
      <c r="J234" s="283"/>
      <c r="K234" s="284"/>
      <c r="L234" s="267"/>
      <c r="N234" s="285"/>
      <c r="O234" s="286"/>
      <c r="P234" s="285"/>
    </row>
    <row r="235" spans="2:16" ht="11.25">
      <c r="B235" s="264"/>
      <c r="C235" s="281"/>
      <c r="D235" s="282"/>
      <c r="E235" s="280"/>
      <c r="F235" s="287"/>
      <c r="G235" s="283"/>
      <c r="H235" s="283"/>
      <c r="I235" s="283"/>
      <c r="J235" s="283"/>
      <c r="K235" s="284"/>
      <c r="L235" s="267"/>
      <c r="N235" s="285"/>
      <c r="O235" s="286"/>
      <c r="P235" s="285"/>
    </row>
    <row r="236" spans="2:16" ht="11.25">
      <c r="B236" s="264"/>
      <c r="C236" s="281"/>
      <c r="D236" s="282"/>
      <c r="E236" s="280"/>
      <c r="F236" s="287"/>
      <c r="G236" s="283"/>
      <c r="H236" s="283"/>
      <c r="I236" s="283"/>
      <c r="J236" s="283"/>
      <c r="K236" s="284"/>
      <c r="L236" s="267"/>
      <c r="N236" s="285"/>
      <c r="O236" s="286"/>
      <c r="P236" s="285"/>
    </row>
    <row r="237" spans="2:16" ht="11.25">
      <c r="B237" s="264"/>
      <c r="C237" s="281"/>
      <c r="D237" s="282"/>
      <c r="E237" s="280"/>
      <c r="F237" s="287"/>
      <c r="G237" s="283"/>
      <c r="H237" s="283"/>
      <c r="I237" s="283"/>
      <c r="J237" s="283"/>
      <c r="K237" s="284"/>
      <c r="L237" s="267"/>
      <c r="N237" s="285"/>
      <c r="O237" s="286"/>
      <c r="P237" s="285"/>
    </row>
    <row r="238" spans="2:16" ht="11.25">
      <c r="B238" s="264"/>
      <c r="C238" s="281"/>
      <c r="D238" s="282"/>
      <c r="E238" s="280"/>
      <c r="F238" s="287"/>
      <c r="G238" s="283"/>
      <c r="H238" s="283"/>
      <c r="I238" s="283"/>
      <c r="J238" s="283"/>
      <c r="K238" s="284"/>
      <c r="L238" s="267"/>
      <c r="N238" s="285"/>
      <c r="O238" s="286"/>
      <c r="P238" s="285"/>
    </row>
    <row r="239" spans="2:16" ht="11.25">
      <c r="B239" s="264"/>
      <c r="C239" s="281"/>
      <c r="D239" s="282"/>
      <c r="E239" s="280"/>
      <c r="F239" s="287"/>
      <c r="G239" s="283"/>
      <c r="H239" s="283"/>
      <c r="I239" s="283"/>
      <c r="J239" s="283"/>
      <c r="K239" s="284"/>
      <c r="L239" s="267"/>
      <c r="N239" s="285"/>
      <c r="O239" s="286"/>
      <c r="P239" s="285"/>
    </row>
    <row r="240" spans="2:16" ht="11.25">
      <c r="B240" s="264"/>
      <c r="C240" s="281"/>
      <c r="D240" s="282"/>
      <c r="E240" s="280"/>
      <c r="F240" s="287"/>
      <c r="G240" s="283"/>
      <c r="H240" s="283"/>
      <c r="I240" s="283"/>
      <c r="J240" s="283"/>
      <c r="K240" s="284"/>
      <c r="L240" s="267"/>
      <c r="N240" s="285"/>
      <c r="O240" s="286"/>
      <c r="P240" s="285"/>
    </row>
    <row r="241" spans="2:16" ht="11.25">
      <c r="B241" s="264"/>
      <c r="C241" s="281"/>
      <c r="D241" s="282"/>
      <c r="E241" s="280"/>
      <c r="F241" s="287"/>
      <c r="G241" s="283"/>
      <c r="H241" s="283"/>
      <c r="I241" s="283"/>
      <c r="J241" s="283"/>
      <c r="K241" s="284"/>
      <c r="L241" s="267"/>
      <c r="N241" s="285"/>
      <c r="O241" s="286"/>
      <c r="P241" s="285"/>
    </row>
    <row r="242" spans="2:16" ht="11.25">
      <c r="B242" s="264"/>
      <c r="C242" s="281"/>
      <c r="D242" s="282"/>
      <c r="E242" s="280"/>
      <c r="F242" s="287"/>
      <c r="G242" s="283"/>
      <c r="H242" s="283"/>
      <c r="I242" s="283"/>
      <c r="J242" s="283"/>
      <c r="K242" s="284"/>
      <c r="L242" s="267"/>
      <c r="N242" s="285"/>
      <c r="O242" s="286"/>
      <c r="P242" s="285"/>
    </row>
    <row r="243" spans="2:16" ht="11.25">
      <c r="B243" s="264"/>
      <c r="C243" s="281"/>
      <c r="D243" s="282"/>
      <c r="E243" s="280"/>
      <c r="F243" s="287"/>
      <c r="G243" s="283"/>
      <c r="H243" s="283"/>
      <c r="I243" s="283"/>
      <c r="J243" s="283"/>
      <c r="K243" s="284"/>
      <c r="L243" s="267"/>
      <c r="N243" s="285"/>
      <c r="O243" s="286"/>
      <c r="P243" s="285"/>
    </row>
    <row r="244" spans="2:16" ht="11.25">
      <c r="B244" s="264"/>
      <c r="C244" s="281"/>
      <c r="D244" s="282"/>
      <c r="E244" s="280"/>
      <c r="F244" s="287"/>
      <c r="G244" s="283"/>
      <c r="H244" s="283"/>
      <c r="I244" s="283"/>
      <c r="J244" s="283"/>
      <c r="K244" s="284"/>
      <c r="L244" s="267"/>
      <c r="N244" s="285"/>
      <c r="O244" s="286"/>
      <c r="P244" s="285"/>
    </row>
    <row r="245" spans="2:16" ht="11.25">
      <c r="B245" s="264"/>
      <c r="C245" s="281"/>
      <c r="D245" s="282"/>
      <c r="E245" s="280"/>
      <c r="F245" s="287"/>
      <c r="G245" s="283"/>
      <c r="H245" s="283"/>
      <c r="I245" s="283"/>
      <c r="J245" s="283"/>
      <c r="K245" s="284"/>
      <c r="L245" s="267"/>
      <c r="N245" s="285"/>
      <c r="O245" s="286"/>
      <c r="P245" s="285"/>
    </row>
    <row r="246" spans="2:16" ht="11.25">
      <c r="B246" s="264"/>
      <c r="C246" s="281"/>
      <c r="D246" s="282"/>
      <c r="E246" s="280"/>
      <c r="F246" s="287"/>
      <c r="G246" s="283"/>
      <c r="H246" s="283"/>
      <c r="I246" s="283"/>
      <c r="J246" s="283"/>
      <c r="K246" s="284"/>
      <c r="L246" s="267"/>
      <c r="N246" s="285"/>
      <c r="O246" s="286"/>
      <c r="P246" s="285"/>
    </row>
    <row r="247" spans="2:16" ht="11.25">
      <c r="B247" s="264"/>
      <c r="C247" s="281"/>
      <c r="D247" s="282"/>
      <c r="E247" s="280"/>
      <c r="F247" s="287"/>
      <c r="G247" s="283"/>
      <c r="H247" s="283"/>
      <c r="I247" s="283"/>
      <c r="J247" s="283"/>
      <c r="K247" s="284"/>
      <c r="L247" s="267"/>
      <c r="N247" s="285"/>
      <c r="O247" s="286"/>
      <c r="P247" s="285"/>
    </row>
    <row r="248" spans="2:16" ht="11.25">
      <c r="B248" s="264"/>
      <c r="C248" s="281"/>
      <c r="D248" s="282"/>
      <c r="E248" s="280"/>
      <c r="F248" s="287"/>
      <c r="G248" s="283"/>
      <c r="H248" s="283"/>
      <c r="I248" s="283"/>
      <c r="J248" s="283"/>
      <c r="K248" s="284"/>
      <c r="L248" s="267"/>
      <c r="N248" s="285"/>
      <c r="O248" s="286"/>
      <c r="P248" s="285"/>
    </row>
    <row r="249" spans="2:16" ht="11.25">
      <c r="B249" s="264"/>
      <c r="C249" s="281"/>
      <c r="D249" s="282"/>
      <c r="E249" s="280"/>
      <c r="F249" s="287"/>
      <c r="G249" s="283"/>
      <c r="H249" s="283"/>
      <c r="I249" s="283"/>
      <c r="J249" s="283"/>
      <c r="K249" s="284"/>
      <c r="L249" s="267"/>
      <c r="N249" s="285"/>
      <c r="O249" s="286"/>
      <c r="P249" s="285"/>
    </row>
    <row r="250" spans="2:16" ht="11.25">
      <c r="B250" s="264"/>
      <c r="C250" s="281"/>
      <c r="D250" s="282"/>
      <c r="E250" s="280"/>
      <c r="F250" s="287"/>
      <c r="G250" s="283"/>
      <c r="H250" s="283"/>
      <c r="I250" s="283"/>
      <c r="J250" s="283"/>
      <c r="K250" s="284"/>
      <c r="L250" s="267"/>
      <c r="N250" s="285"/>
      <c r="O250" s="286"/>
      <c r="P250" s="285"/>
    </row>
    <row r="251" spans="2:16" ht="11.25">
      <c r="B251" s="264"/>
      <c r="C251" s="281"/>
      <c r="D251" s="282"/>
      <c r="E251" s="280"/>
      <c r="F251" s="287"/>
      <c r="G251" s="283"/>
      <c r="H251" s="283"/>
      <c r="I251" s="283"/>
      <c r="J251" s="283"/>
      <c r="K251" s="284"/>
      <c r="L251" s="267"/>
      <c r="N251" s="285"/>
      <c r="O251" s="286"/>
      <c r="P251" s="285"/>
    </row>
    <row r="252" spans="2:16" ht="11.25">
      <c r="B252" s="264"/>
      <c r="C252" s="281"/>
      <c r="D252" s="288"/>
      <c r="E252" s="280"/>
      <c r="F252" s="287"/>
      <c r="G252" s="283"/>
      <c r="H252" s="283"/>
      <c r="I252" s="283"/>
      <c r="J252" s="283"/>
      <c r="K252" s="289"/>
      <c r="L252" s="267"/>
    </row>
    <row r="253" spans="2:16" ht="11.25">
      <c r="B253" s="264"/>
      <c r="C253" s="251"/>
      <c r="D253" s="290"/>
      <c r="E253" s="291"/>
      <c r="F253" s="292"/>
      <c r="G253" s="292"/>
      <c r="H253" s="292"/>
      <c r="I253" s="292"/>
      <c r="J253" s="292"/>
      <c r="K253" s="293"/>
      <c r="L253" s="267"/>
    </row>
    <row r="254" spans="2:16" ht="11.25">
      <c r="B254" s="264"/>
      <c r="C254" s="281"/>
      <c r="D254" s="294" t="s">
        <v>67</v>
      </c>
      <c r="E254" s="295"/>
      <c r="F254" s="296"/>
      <c r="G254" s="297"/>
      <c r="H254" s="283">
        <f>ROUND(SUM(H195:H253),2)</f>
        <v>67.2</v>
      </c>
      <c r="I254" s="283">
        <f>ROUND(SUM(I195:I253),2)</f>
        <v>0</v>
      </c>
      <c r="J254" s="283">
        <f>ROUND(SUM(J195:J253),2)</f>
        <v>11.96</v>
      </c>
      <c r="K254" s="283">
        <f>SUM(H254:J254)</f>
        <v>79.16</v>
      </c>
      <c r="L254" s="267"/>
    </row>
    <row r="255" spans="2:16" ht="11.25">
      <c r="B255" s="264"/>
      <c r="C255" s="281"/>
      <c r="D255" s="288" t="s">
        <v>68</v>
      </c>
      <c r="E255" s="280" t="s">
        <v>69</v>
      </c>
      <c r="F255" s="283">
        <v>0</v>
      </c>
      <c r="G255" s="283">
        <f>J254</f>
        <v>11.96</v>
      </c>
      <c r="H255" s="298"/>
      <c r="I255" s="299"/>
      <c r="J255" s="300">
        <f>ROUND(F255*G255/100,2)</f>
        <v>0</v>
      </c>
      <c r="K255" s="301"/>
      <c r="L255" s="267"/>
    </row>
    <row r="256" spans="2:16" ht="11.25">
      <c r="B256" s="264"/>
      <c r="C256" s="281"/>
      <c r="D256" s="288" t="s">
        <v>70</v>
      </c>
      <c r="E256" s="280" t="s">
        <v>69</v>
      </c>
      <c r="F256" s="283">
        <v>0</v>
      </c>
      <c r="G256" s="283">
        <f>I254</f>
        <v>0</v>
      </c>
      <c r="H256" s="301"/>
      <c r="I256" s="283">
        <f>ROUND(F256*G256/100,2)</f>
        <v>0</v>
      </c>
      <c r="J256" s="298"/>
      <c r="K256" s="299"/>
      <c r="L256" s="267"/>
    </row>
    <row r="257" spans="2:16" ht="11.25">
      <c r="B257" s="264"/>
      <c r="C257" s="281"/>
      <c r="D257" s="288" t="s">
        <v>71</v>
      </c>
      <c r="E257" s="280" t="s">
        <v>69</v>
      </c>
      <c r="F257" s="283">
        <v>0</v>
      </c>
      <c r="G257" s="283">
        <f>H254</f>
        <v>67.2</v>
      </c>
      <c r="H257" s="283">
        <f>ROUND(F257/100*G257,2)</f>
        <v>0</v>
      </c>
      <c r="I257" s="298"/>
      <c r="J257" s="302"/>
      <c r="K257" s="299"/>
      <c r="L257" s="267"/>
    </row>
    <row r="258" spans="2:16" ht="11.25">
      <c r="B258" s="264"/>
      <c r="C258" s="281"/>
      <c r="D258" s="294" t="s">
        <v>72</v>
      </c>
      <c r="E258" s="295"/>
      <c r="F258" s="296"/>
      <c r="G258" s="297"/>
      <c r="H258" s="283">
        <f>SUM(H254,H257)</f>
        <v>67.2</v>
      </c>
      <c r="I258" s="283">
        <f>SUM(I254,I256)</f>
        <v>0</v>
      </c>
      <c r="J258" s="283">
        <f>SUM(J254:J255)</f>
        <v>11.96</v>
      </c>
      <c r="K258" s="283">
        <f>SUM(H258:J258)</f>
        <v>79.16</v>
      </c>
      <c r="L258" s="267"/>
    </row>
    <row r="259" spans="2:16" ht="18">
      <c r="B259" s="264"/>
      <c r="C259" s="281"/>
      <c r="D259" s="288" t="s">
        <v>73</v>
      </c>
      <c r="E259" s="280" t="s">
        <v>69</v>
      </c>
      <c r="F259" s="283"/>
      <c r="G259" s="283">
        <f>SUM(K258)</f>
        <v>79.16</v>
      </c>
      <c r="H259" s="298"/>
      <c r="I259" s="302"/>
      <c r="J259" s="299"/>
      <c r="K259" s="283">
        <f>ROUND(F259*G259/100,2)</f>
        <v>0</v>
      </c>
      <c r="L259" s="267"/>
      <c r="M259" s="303"/>
    </row>
    <row r="260" spans="2:16" ht="11.25">
      <c r="B260" s="264"/>
      <c r="C260" s="281"/>
      <c r="D260" s="294" t="s">
        <v>74</v>
      </c>
      <c r="E260" s="304"/>
      <c r="F260" s="304"/>
      <c r="G260" s="304"/>
      <c r="H260" s="304"/>
      <c r="I260" s="304"/>
      <c r="J260" s="305"/>
      <c r="K260" s="283">
        <f>SUM(K258:K259)</f>
        <v>79.16</v>
      </c>
      <c r="L260" s="267"/>
    </row>
    <row r="261" spans="2:16" ht="11.25">
      <c r="B261" s="264"/>
      <c r="C261" s="281"/>
      <c r="D261" s="294" t="s">
        <v>75</v>
      </c>
      <c r="E261" s="305"/>
      <c r="F261" s="283">
        <v>1</v>
      </c>
      <c r="G261" s="283">
        <f>K260</f>
        <v>79.16</v>
      </c>
      <c r="H261" s="298"/>
      <c r="I261" s="302"/>
      <c r="J261" s="299"/>
      <c r="K261" s="283">
        <f>ROUND(G261/F261,2)</f>
        <v>79.16</v>
      </c>
      <c r="L261" s="267"/>
    </row>
    <row r="262" spans="2:16" ht="11.25">
      <c r="B262" s="264"/>
      <c r="C262" s="281"/>
      <c r="D262" s="306" t="s">
        <v>76</v>
      </c>
      <c r="E262" s="307"/>
      <c r="F262" s="307"/>
      <c r="G262" s="307"/>
      <c r="H262" s="307"/>
      <c r="I262" s="307"/>
      <c r="J262" s="308"/>
      <c r="K262" s="309">
        <f>K261</f>
        <v>79.16</v>
      </c>
      <c r="L262" s="267"/>
      <c r="N262" s="310"/>
      <c r="O262" s="310"/>
      <c r="P262" s="310"/>
    </row>
    <row r="263" spans="2:16" ht="11.25">
      <c r="B263" s="270"/>
      <c r="C263" s="311"/>
      <c r="D263" s="312"/>
      <c r="E263" s="312"/>
      <c r="F263" s="312"/>
      <c r="G263" s="312"/>
      <c r="H263" s="312"/>
      <c r="I263" s="312"/>
      <c r="J263" s="312"/>
      <c r="K263" s="312"/>
      <c r="L263" s="273"/>
    </row>
    <row r="264" spans="2:16" ht="11.25">
      <c r="B264" s="260"/>
      <c r="C264" s="313"/>
      <c r="D264" s="265"/>
      <c r="E264" s="265"/>
      <c r="F264" s="265"/>
      <c r="G264" s="265"/>
      <c r="H264" s="265"/>
      <c r="I264" s="265"/>
      <c r="J264" s="265"/>
      <c r="K264" s="265"/>
      <c r="L264" s="263"/>
    </row>
    <row r="265" spans="2:16" ht="11.25">
      <c r="B265" s="264"/>
      <c r="C265" s="314" t="s">
        <v>56</v>
      </c>
      <c r="D265" s="315" t="s">
        <v>77</v>
      </c>
      <c r="E265" s="265"/>
      <c r="F265" s="265"/>
      <c r="G265" s="265"/>
      <c r="H265" s="265"/>
      <c r="I265" s="265"/>
      <c r="J265" s="265"/>
      <c r="K265" s="316"/>
      <c r="L265" s="267"/>
    </row>
    <row r="266" spans="2:16" ht="11.25">
      <c r="B266" s="264"/>
      <c r="C266" s="317"/>
      <c r="D266" s="491" t="s">
        <v>89</v>
      </c>
      <c r="E266" s="491"/>
      <c r="F266" s="491"/>
      <c r="G266" s="491"/>
      <c r="H266" s="491"/>
      <c r="I266" s="491"/>
      <c r="J266" s="491"/>
      <c r="K266" s="492"/>
      <c r="L266" s="267"/>
    </row>
    <row r="267" spans="2:16" ht="11.25">
      <c r="B267" s="264"/>
      <c r="C267" s="318"/>
      <c r="D267" s="501"/>
      <c r="E267" s="501"/>
      <c r="F267" s="501"/>
      <c r="G267" s="501"/>
      <c r="H267" s="501"/>
      <c r="I267" s="501"/>
      <c r="J267" s="501"/>
      <c r="K267" s="502"/>
      <c r="L267" s="267"/>
    </row>
    <row r="268" spans="2:16" ht="11.25">
      <c r="B268" s="264"/>
      <c r="C268" s="319"/>
      <c r="D268" s="290"/>
      <c r="E268" s="252"/>
      <c r="F268" s="252"/>
      <c r="G268" s="252"/>
      <c r="H268" s="252"/>
      <c r="I268" s="252"/>
      <c r="J268" s="252"/>
      <c r="K268" s="252"/>
      <c r="L268" s="267"/>
    </row>
    <row r="269" spans="2:16" ht="11.25">
      <c r="B269" s="264"/>
      <c r="C269" s="314" t="s">
        <v>60</v>
      </c>
      <c r="D269" s="315" t="s">
        <v>78</v>
      </c>
      <c r="E269" s="265"/>
      <c r="F269" s="265"/>
      <c r="G269" s="265"/>
      <c r="H269" s="265"/>
      <c r="I269" s="265"/>
      <c r="J269" s="265"/>
      <c r="K269" s="316"/>
      <c r="L269" s="267"/>
    </row>
    <row r="270" spans="2:16" ht="11.25">
      <c r="B270" s="264"/>
      <c r="C270" s="318"/>
      <c r="D270" s="320"/>
      <c r="E270" s="312"/>
      <c r="F270" s="312"/>
      <c r="G270" s="312"/>
      <c r="H270" s="312"/>
      <c r="I270" s="312"/>
      <c r="J270" s="312"/>
      <c r="K270" s="321"/>
      <c r="L270" s="267"/>
    </row>
    <row r="271" spans="2:16">
      <c r="B271" s="270"/>
      <c r="C271" s="417"/>
      <c r="D271" s="418"/>
      <c r="E271" s="418"/>
      <c r="F271" s="418"/>
      <c r="G271" s="418"/>
      <c r="H271" s="418"/>
      <c r="I271" s="418"/>
      <c r="J271" s="418"/>
      <c r="K271" s="418"/>
      <c r="L271" s="273"/>
    </row>
    <row r="273" spans="2:17" ht="5.0999999999999996" customHeight="1">
      <c r="B273" s="260"/>
      <c r="C273" s="261"/>
      <c r="D273" s="262"/>
      <c r="E273" s="262"/>
      <c r="F273" s="262"/>
      <c r="G273" s="262"/>
      <c r="H273" s="262"/>
      <c r="I273" s="262"/>
      <c r="J273" s="262"/>
      <c r="K273" s="262"/>
      <c r="L273" s="263"/>
    </row>
    <row r="274" spans="2:17" ht="35.1" customHeight="1">
      <c r="B274" s="254"/>
      <c r="C274" s="506" t="s">
        <v>39</v>
      </c>
      <c r="D274" s="507"/>
      <c r="E274" s="507"/>
      <c r="F274" s="507"/>
      <c r="G274" s="507"/>
      <c r="H274" s="507"/>
      <c r="I274" s="507"/>
      <c r="J274" s="507"/>
      <c r="K274" s="508"/>
      <c r="L274" s="255"/>
    </row>
    <row r="275" spans="2:17" ht="5.0999999999999996" customHeight="1">
      <c r="B275" s="256"/>
      <c r="C275" s="257"/>
      <c r="D275" s="257"/>
      <c r="E275" s="257"/>
      <c r="F275" s="257"/>
      <c r="G275" s="257"/>
      <c r="H275" s="257"/>
      <c r="I275" s="257"/>
      <c r="J275" s="257"/>
      <c r="K275" s="257"/>
      <c r="L275" s="258"/>
    </row>
    <row r="276" spans="2:17" ht="9.9499999999999993" customHeight="1">
      <c r="B276" s="259"/>
      <c r="C276" s="259"/>
      <c r="D276" s="259"/>
      <c r="E276" s="259"/>
      <c r="F276" s="259"/>
      <c r="G276" s="259"/>
      <c r="H276" s="259"/>
      <c r="I276" s="259"/>
      <c r="J276" s="259"/>
      <c r="K276" s="259"/>
      <c r="L276" s="259"/>
    </row>
    <row r="277" spans="2:17" ht="5.0999999999999996" customHeight="1">
      <c r="B277" s="260"/>
      <c r="C277" s="261"/>
      <c r="D277" s="262"/>
      <c r="E277" s="262"/>
      <c r="F277" s="262"/>
      <c r="G277" s="262"/>
      <c r="H277" s="262"/>
      <c r="I277" s="262"/>
      <c r="J277" s="262"/>
      <c r="K277" s="262"/>
      <c r="L277" s="263"/>
    </row>
    <row r="278" spans="2:17" ht="15" customHeight="1">
      <c r="B278" s="264"/>
      <c r="C278" s="495" t="s">
        <v>40</v>
      </c>
      <c r="D278" s="496"/>
      <c r="E278" s="265"/>
      <c r="F278" s="265"/>
      <c r="G278" s="265"/>
      <c r="H278" s="266" t="s">
        <v>41</v>
      </c>
      <c r="I278" s="266" t="s">
        <v>42</v>
      </c>
      <c r="J278" s="266" t="s">
        <v>43</v>
      </c>
      <c r="K278" s="266" t="s">
        <v>44</v>
      </c>
      <c r="L278" s="267"/>
    </row>
    <row r="279" spans="2:17" ht="35.1" customHeight="1">
      <c r="B279" s="264"/>
      <c r="C279" s="322" t="s">
        <v>99</v>
      </c>
      <c r="D279" s="271"/>
      <c r="E279" s="271"/>
      <c r="F279" s="271"/>
      <c r="G279" s="271"/>
      <c r="H279" s="268" t="s">
        <v>489</v>
      </c>
      <c r="I279" s="268" t="s">
        <v>405</v>
      </c>
      <c r="J279" s="269" t="s">
        <v>45</v>
      </c>
      <c r="K279" s="269" t="s">
        <v>361</v>
      </c>
      <c r="L279" s="267"/>
    </row>
    <row r="280" spans="2:17" ht="5.0999999999999996" customHeight="1">
      <c r="B280" s="270"/>
      <c r="C280" s="271"/>
      <c r="D280" s="271"/>
      <c r="E280" s="271"/>
      <c r="F280" s="271"/>
      <c r="G280" s="271"/>
      <c r="H280" s="271"/>
      <c r="I280" s="271"/>
      <c r="J280" s="272"/>
      <c r="K280" s="272"/>
      <c r="L280" s="273"/>
    </row>
    <row r="281" spans="2:17" s="328" customFormat="1" ht="9.9499999999999993" customHeight="1">
      <c r="B281" s="325"/>
      <c r="C281" s="326"/>
      <c r="D281" s="326"/>
      <c r="E281" s="326"/>
      <c r="F281" s="326"/>
      <c r="G281" s="326"/>
      <c r="H281" s="326"/>
      <c r="I281" s="326"/>
      <c r="J281" s="327"/>
      <c r="K281" s="327"/>
      <c r="L281" s="325"/>
    </row>
    <row r="282" spans="2:17" s="328" customFormat="1" ht="5.0999999999999996" customHeight="1">
      <c r="B282" s="329"/>
      <c r="C282" s="330"/>
      <c r="D282" s="331"/>
      <c r="E282" s="331"/>
      <c r="F282" s="331"/>
      <c r="G282" s="331"/>
      <c r="H282" s="331"/>
      <c r="I282" s="331"/>
      <c r="J282" s="331"/>
      <c r="K282" s="331"/>
      <c r="L282" s="332"/>
    </row>
    <row r="283" spans="2:17" s="335" customFormat="1" ht="21.95" customHeight="1">
      <c r="B283" s="333"/>
      <c r="C283" s="512" t="s">
        <v>46</v>
      </c>
      <c r="D283" s="513" t="s">
        <v>47</v>
      </c>
      <c r="E283" s="513" t="s">
        <v>48</v>
      </c>
      <c r="F283" s="513" t="s">
        <v>49</v>
      </c>
      <c r="G283" s="513" t="s">
        <v>50</v>
      </c>
      <c r="H283" s="513" t="s">
        <v>51</v>
      </c>
      <c r="I283" s="513"/>
      <c r="J283" s="513"/>
      <c r="K283" s="513" t="s">
        <v>52</v>
      </c>
      <c r="L283" s="334"/>
    </row>
    <row r="284" spans="2:17" s="335" customFormat="1" ht="21.95" customHeight="1">
      <c r="B284" s="333"/>
      <c r="C284" s="512"/>
      <c r="D284" s="513"/>
      <c r="E284" s="513"/>
      <c r="F284" s="513"/>
      <c r="G284" s="513"/>
      <c r="H284" s="336" t="s">
        <v>53</v>
      </c>
      <c r="I284" s="336" t="s">
        <v>54</v>
      </c>
      <c r="J284" s="336" t="s">
        <v>55</v>
      </c>
      <c r="K284" s="513"/>
      <c r="L284" s="334"/>
      <c r="O284" s="335" t="s">
        <v>81</v>
      </c>
      <c r="P284" s="335" t="s">
        <v>82</v>
      </c>
      <c r="Q284" s="335" t="s">
        <v>83</v>
      </c>
    </row>
    <row r="285" spans="2:17" s="328" customFormat="1" ht="5.0999999999999996" customHeight="1">
      <c r="B285" s="337"/>
      <c r="C285" s="338"/>
      <c r="D285" s="339"/>
      <c r="E285" s="339"/>
      <c r="F285" s="339"/>
      <c r="G285" s="339"/>
      <c r="H285" s="339"/>
      <c r="I285" s="339"/>
      <c r="J285" s="339"/>
      <c r="K285" s="339"/>
      <c r="L285" s="340"/>
    </row>
    <row r="286" spans="2:17" s="328" customFormat="1" ht="22.5">
      <c r="B286" s="337"/>
      <c r="C286" s="341" t="s">
        <v>56</v>
      </c>
      <c r="D286" s="342" t="s">
        <v>100</v>
      </c>
      <c r="E286" s="336" t="s">
        <v>58</v>
      </c>
      <c r="F286" s="343">
        <v>8.0000000000000002E-3</v>
      </c>
      <c r="G286" s="344">
        <v>273.69</v>
      </c>
      <c r="H286" s="344">
        <f>ROUND(F286*G286,2)</f>
        <v>2.19</v>
      </c>
      <c r="I286" s="344"/>
      <c r="J286" s="344"/>
      <c r="K286" s="345" t="s">
        <v>101</v>
      </c>
      <c r="L286" s="340"/>
      <c r="N286" s="346"/>
      <c r="O286" s="347">
        <v>8.3000000000000007</v>
      </c>
      <c r="P286" s="346">
        <v>1.5</v>
      </c>
      <c r="Q286" s="328">
        <f>P286*O286</f>
        <v>12.45</v>
      </c>
    </row>
    <row r="287" spans="2:17" s="328" customFormat="1" ht="22.5">
      <c r="B287" s="337"/>
      <c r="C287" s="341" t="s">
        <v>60</v>
      </c>
      <c r="D287" s="342" t="s">
        <v>488</v>
      </c>
      <c r="E287" s="336" t="s">
        <v>102</v>
      </c>
      <c r="F287" s="343">
        <v>1</v>
      </c>
      <c r="G287" s="344">
        <v>234.79</v>
      </c>
      <c r="H287" s="344">
        <f>ROUND(F287*G287,2)</f>
        <v>234.79</v>
      </c>
      <c r="I287" s="344"/>
      <c r="J287" s="344"/>
      <c r="K287" s="345" t="s">
        <v>487</v>
      </c>
      <c r="L287" s="340"/>
      <c r="N287" s="346"/>
      <c r="O287" s="347"/>
      <c r="P287" s="346"/>
    </row>
    <row r="288" spans="2:17" s="328" customFormat="1" ht="11.25">
      <c r="B288" s="337"/>
      <c r="C288" s="341" t="s">
        <v>61</v>
      </c>
      <c r="D288" s="342" t="s">
        <v>65</v>
      </c>
      <c r="E288" s="336" t="s">
        <v>64</v>
      </c>
      <c r="F288" s="343">
        <v>2.6</v>
      </c>
      <c r="G288" s="344">
        <v>11.96</v>
      </c>
      <c r="H288" s="344"/>
      <c r="I288" s="344"/>
      <c r="J288" s="344">
        <f>ROUND(F288*G288,2)</f>
        <v>31.1</v>
      </c>
      <c r="K288" s="345" t="s">
        <v>66</v>
      </c>
      <c r="L288" s="340"/>
      <c r="N288" s="346"/>
      <c r="O288" s="347"/>
      <c r="P288" s="346"/>
    </row>
    <row r="289" spans="2:16" s="328" customFormat="1" ht="11.25">
      <c r="B289" s="337"/>
      <c r="C289" s="341" t="s">
        <v>62</v>
      </c>
      <c r="D289" s="342" t="s">
        <v>103</v>
      </c>
      <c r="E289" s="336" t="s">
        <v>64</v>
      </c>
      <c r="F289" s="343">
        <v>2.6</v>
      </c>
      <c r="G289" s="344">
        <v>15.07</v>
      </c>
      <c r="H289" s="344"/>
      <c r="I289" s="344"/>
      <c r="J289" s="344">
        <f>ROUND(F289*G289,2)</f>
        <v>39.18</v>
      </c>
      <c r="K289" s="345" t="s">
        <v>104</v>
      </c>
      <c r="L289" s="340"/>
      <c r="N289" s="346"/>
      <c r="O289" s="347"/>
      <c r="P289" s="346"/>
    </row>
    <row r="290" spans="2:16" s="328" customFormat="1" ht="11.25">
      <c r="B290" s="337"/>
      <c r="C290" s="341"/>
      <c r="D290" s="342"/>
      <c r="E290" s="336"/>
      <c r="F290" s="343"/>
      <c r="G290" s="344"/>
      <c r="H290" s="344"/>
      <c r="I290" s="344"/>
      <c r="J290" s="344"/>
      <c r="K290" s="345"/>
      <c r="L290" s="340"/>
      <c r="N290" s="346"/>
      <c r="O290" s="347"/>
      <c r="P290" s="346"/>
    </row>
    <row r="291" spans="2:16" s="328" customFormat="1" ht="11.25">
      <c r="B291" s="337"/>
      <c r="C291" s="341"/>
      <c r="D291" s="342"/>
      <c r="E291" s="336"/>
      <c r="F291" s="343"/>
      <c r="G291" s="344"/>
      <c r="H291" s="344"/>
      <c r="I291" s="344"/>
      <c r="J291" s="344"/>
      <c r="K291" s="345"/>
      <c r="L291" s="340"/>
      <c r="N291" s="346"/>
      <c r="O291" s="347"/>
      <c r="P291" s="346"/>
    </row>
    <row r="292" spans="2:16" s="328" customFormat="1" ht="11.25">
      <c r="B292" s="337"/>
      <c r="C292" s="341"/>
      <c r="D292" s="342"/>
      <c r="E292" s="336"/>
      <c r="F292" s="343"/>
      <c r="G292" s="344"/>
      <c r="H292" s="344"/>
      <c r="I292" s="344"/>
      <c r="J292" s="344"/>
      <c r="K292" s="345"/>
      <c r="L292" s="340"/>
      <c r="N292" s="346"/>
      <c r="O292" s="347"/>
      <c r="P292" s="346"/>
    </row>
    <row r="293" spans="2:16" s="328" customFormat="1" ht="11.25">
      <c r="B293" s="337"/>
      <c r="C293" s="341"/>
      <c r="D293" s="342"/>
      <c r="E293" s="336"/>
      <c r="F293" s="343"/>
      <c r="G293" s="344"/>
      <c r="H293" s="344"/>
      <c r="I293" s="344"/>
      <c r="J293" s="344"/>
      <c r="K293" s="345"/>
      <c r="L293" s="340"/>
      <c r="N293" s="346"/>
      <c r="O293" s="347"/>
      <c r="P293" s="346"/>
    </row>
    <row r="294" spans="2:16" s="328" customFormat="1" ht="11.25">
      <c r="B294" s="337"/>
      <c r="C294" s="341"/>
      <c r="D294" s="342"/>
      <c r="E294" s="336"/>
      <c r="F294" s="343"/>
      <c r="G294" s="344"/>
      <c r="H294" s="344"/>
      <c r="I294" s="344"/>
      <c r="J294" s="344"/>
      <c r="K294" s="345"/>
      <c r="L294" s="340"/>
      <c r="N294" s="346"/>
      <c r="O294" s="347"/>
      <c r="P294" s="346"/>
    </row>
    <row r="295" spans="2:16" ht="11.25">
      <c r="B295" s="264"/>
      <c r="C295" s="281"/>
      <c r="D295" s="282"/>
      <c r="E295" s="280"/>
      <c r="F295" s="287"/>
      <c r="G295" s="283"/>
      <c r="H295" s="283"/>
      <c r="I295" s="283"/>
      <c r="J295" s="283"/>
      <c r="K295" s="284"/>
      <c r="L295" s="267"/>
      <c r="N295" s="285"/>
      <c r="O295" s="286"/>
      <c r="P295" s="285"/>
    </row>
    <row r="296" spans="2:16" ht="11.25">
      <c r="B296" s="264"/>
      <c r="C296" s="281"/>
      <c r="D296" s="282"/>
      <c r="E296" s="280"/>
      <c r="F296" s="287"/>
      <c r="G296" s="283"/>
      <c r="H296" s="283"/>
      <c r="I296" s="283"/>
      <c r="J296" s="283"/>
      <c r="K296" s="284"/>
      <c r="L296" s="267"/>
      <c r="N296" s="285"/>
      <c r="O296" s="286"/>
      <c r="P296" s="285"/>
    </row>
    <row r="297" spans="2:16" ht="11.25">
      <c r="B297" s="264"/>
      <c r="C297" s="281"/>
      <c r="D297" s="282"/>
      <c r="E297" s="280"/>
      <c r="F297" s="287"/>
      <c r="G297" s="283"/>
      <c r="H297" s="283"/>
      <c r="I297" s="283"/>
      <c r="J297" s="283"/>
      <c r="K297" s="284"/>
      <c r="L297" s="267"/>
      <c r="N297" s="285"/>
      <c r="O297" s="286"/>
      <c r="P297" s="285"/>
    </row>
    <row r="298" spans="2:16" ht="11.25">
      <c r="B298" s="264"/>
      <c r="C298" s="281"/>
      <c r="D298" s="282"/>
      <c r="E298" s="280"/>
      <c r="F298" s="287"/>
      <c r="G298" s="283"/>
      <c r="H298" s="283"/>
      <c r="I298" s="283"/>
      <c r="J298" s="283"/>
      <c r="K298" s="284"/>
      <c r="L298" s="267"/>
      <c r="N298" s="285"/>
      <c r="O298" s="286"/>
      <c r="P298" s="285"/>
    </row>
    <row r="299" spans="2:16" ht="11.25">
      <c r="B299" s="264"/>
      <c r="C299" s="281"/>
      <c r="D299" s="282"/>
      <c r="E299" s="280"/>
      <c r="F299" s="287"/>
      <c r="G299" s="283"/>
      <c r="H299" s="283"/>
      <c r="I299" s="283"/>
      <c r="J299" s="283"/>
      <c r="K299" s="284"/>
      <c r="L299" s="267"/>
      <c r="N299" s="285"/>
      <c r="O299" s="286"/>
      <c r="P299" s="285"/>
    </row>
    <row r="300" spans="2:16" ht="11.25">
      <c r="B300" s="264"/>
      <c r="C300" s="281"/>
      <c r="D300" s="282"/>
      <c r="E300" s="280"/>
      <c r="F300" s="287"/>
      <c r="G300" s="283"/>
      <c r="H300" s="283"/>
      <c r="I300" s="283"/>
      <c r="J300" s="283"/>
      <c r="K300" s="284"/>
      <c r="L300" s="267"/>
      <c r="N300" s="285"/>
      <c r="O300" s="286"/>
      <c r="P300" s="285"/>
    </row>
    <row r="301" spans="2:16" ht="11.25">
      <c r="B301" s="264"/>
      <c r="C301" s="281"/>
      <c r="D301" s="282"/>
      <c r="E301" s="280"/>
      <c r="F301" s="287"/>
      <c r="G301" s="283"/>
      <c r="H301" s="283"/>
      <c r="I301" s="283"/>
      <c r="J301" s="283"/>
      <c r="K301" s="284"/>
      <c r="L301" s="267"/>
      <c r="N301" s="285"/>
      <c r="O301" s="286"/>
      <c r="P301" s="285"/>
    </row>
    <row r="302" spans="2:16" ht="11.25">
      <c r="B302" s="264"/>
      <c r="C302" s="281"/>
      <c r="D302" s="282"/>
      <c r="E302" s="280"/>
      <c r="F302" s="287"/>
      <c r="G302" s="283"/>
      <c r="H302" s="283"/>
      <c r="I302" s="283"/>
      <c r="J302" s="283"/>
      <c r="K302" s="284"/>
      <c r="L302" s="267"/>
      <c r="N302" s="285"/>
      <c r="O302" s="286"/>
      <c r="P302" s="285"/>
    </row>
    <row r="303" spans="2:16" ht="11.25">
      <c r="B303" s="264"/>
      <c r="C303" s="281"/>
      <c r="D303" s="282"/>
      <c r="E303" s="280"/>
      <c r="F303" s="287"/>
      <c r="G303" s="283"/>
      <c r="H303" s="283"/>
      <c r="I303" s="283"/>
      <c r="J303" s="283"/>
      <c r="K303" s="284"/>
      <c r="L303" s="267"/>
      <c r="N303" s="285"/>
      <c r="O303" s="286"/>
      <c r="P303" s="285"/>
    </row>
    <row r="304" spans="2:16" ht="11.25">
      <c r="B304" s="264"/>
      <c r="C304" s="281"/>
      <c r="D304" s="282"/>
      <c r="E304" s="280"/>
      <c r="F304" s="287"/>
      <c r="G304" s="283"/>
      <c r="H304" s="283"/>
      <c r="I304" s="283"/>
      <c r="J304" s="283"/>
      <c r="K304" s="284"/>
      <c r="L304" s="267"/>
      <c r="N304" s="285"/>
      <c r="O304" s="286"/>
      <c r="P304" s="285"/>
    </row>
    <row r="305" spans="2:16" ht="11.25">
      <c r="B305" s="264"/>
      <c r="C305" s="281"/>
      <c r="D305" s="282"/>
      <c r="E305" s="280"/>
      <c r="F305" s="287"/>
      <c r="G305" s="283"/>
      <c r="H305" s="283"/>
      <c r="I305" s="283"/>
      <c r="J305" s="283"/>
      <c r="K305" s="284"/>
      <c r="L305" s="267"/>
      <c r="N305" s="285"/>
      <c r="O305" s="286"/>
      <c r="P305" s="285"/>
    </row>
    <row r="306" spans="2:16" ht="11.25">
      <c r="B306" s="264"/>
      <c r="C306" s="281"/>
      <c r="D306" s="282"/>
      <c r="E306" s="280"/>
      <c r="F306" s="287"/>
      <c r="G306" s="283"/>
      <c r="H306" s="283"/>
      <c r="I306" s="283"/>
      <c r="J306" s="283"/>
      <c r="K306" s="284"/>
      <c r="L306" s="267"/>
      <c r="N306" s="285"/>
      <c r="O306" s="286"/>
      <c r="P306" s="285"/>
    </row>
    <row r="307" spans="2:16" ht="11.25">
      <c r="B307" s="264"/>
      <c r="C307" s="281"/>
      <c r="D307" s="282"/>
      <c r="E307" s="280"/>
      <c r="F307" s="287"/>
      <c r="G307" s="283"/>
      <c r="H307" s="283"/>
      <c r="I307" s="283"/>
      <c r="J307" s="283"/>
      <c r="K307" s="284"/>
      <c r="L307" s="267"/>
      <c r="N307" s="285"/>
      <c r="O307" s="286"/>
      <c r="P307" s="285"/>
    </row>
    <row r="308" spans="2:16" ht="11.25">
      <c r="B308" s="264"/>
      <c r="C308" s="281"/>
      <c r="D308" s="282"/>
      <c r="E308" s="280"/>
      <c r="F308" s="287"/>
      <c r="G308" s="283"/>
      <c r="H308" s="283"/>
      <c r="I308" s="283"/>
      <c r="J308" s="283"/>
      <c r="K308" s="284"/>
      <c r="L308" s="267"/>
      <c r="N308" s="285"/>
      <c r="O308" s="286"/>
      <c r="P308" s="285"/>
    </row>
    <row r="309" spans="2:16" ht="11.25">
      <c r="B309" s="264"/>
      <c r="C309" s="281"/>
      <c r="D309" s="282"/>
      <c r="E309" s="280"/>
      <c r="F309" s="287"/>
      <c r="G309" s="283"/>
      <c r="H309" s="283"/>
      <c r="I309" s="283"/>
      <c r="J309" s="283"/>
      <c r="K309" s="284"/>
      <c r="L309" s="267"/>
      <c r="N309" s="285"/>
      <c r="O309" s="286"/>
      <c r="P309" s="285"/>
    </row>
    <row r="310" spans="2:16" ht="11.25">
      <c r="B310" s="264"/>
      <c r="C310" s="281"/>
      <c r="D310" s="282"/>
      <c r="E310" s="280"/>
      <c r="F310" s="287"/>
      <c r="G310" s="283"/>
      <c r="H310" s="283"/>
      <c r="I310" s="283"/>
      <c r="J310" s="283"/>
      <c r="K310" s="284"/>
      <c r="L310" s="267"/>
      <c r="N310" s="285"/>
      <c r="O310" s="286"/>
      <c r="P310" s="285"/>
    </row>
    <row r="311" spans="2:16" ht="11.25">
      <c r="B311" s="264"/>
      <c r="C311" s="281"/>
      <c r="D311" s="282"/>
      <c r="E311" s="280"/>
      <c r="F311" s="287"/>
      <c r="G311" s="283"/>
      <c r="H311" s="283"/>
      <c r="I311" s="283"/>
      <c r="J311" s="283"/>
      <c r="K311" s="284"/>
      <c r="L311" s="267"/>
      <c r="N311" s="285"/>
      <c r="O311" s="286"/>
      <c r="P311" s="285"/>
    </row>
    <row r="312" spans="2:16" ht="11.25">
      <c r="B312" s="264"/>
      <c r="C312" s="281"/>
      <c r="D312" s="282"/>
      <c r="E312" s="280"/>
      <c r="F312" s="287"/>
      <c r="G312" s="283"/>
      <c r="H312" s="283"/>
      <c r="I312" s="283"/>
      <c r="J312" s="283"/>
      <c r="K312" s="284"/>
      <c r="L312" s="267"/>
      <c r="N312" s="285"/>
      <c r="O312" s="286"/>
      <c r="P312" s="285"/>
    </row>
    <row r="313" spans="2:16" ht="11.25">
      <c r="B313" s="264"/>
      <c r="C313" s="281"/>
      <c r="D313" s="282"/>
      <c r="E313" s="280"/>
      <c r="F313" s="287"/>
      <c r="G313" s="283"/>
      <c r="H313" s="283"/>
      <c r="I313" s="283"/>
      <c r="J313" s="283"/>
      <c r="K313" s="284"/>
      <c r="L313" s="267"/>
      <c r="N313" s="285"/>
      <c r="O313" s="286"/>
      <c r="P313" s="285"/>
    </row>
    <row r="314" spans="2:16" ht="11.25">
      <c r="B314" s="264"/>
      <c r="C314" s="281"/>
      <c r="D314" s="282"/>
      <c r="E314" s="280"/>
      <c r="F314" s="287"/>
      <c r="G314" s="283"/>
      <c r="H314" s="283"/>
      <c r="I314" s="283"/>
      <c r="J314" s="283"/>
      <c r="K314" s="284"/>
      <c r="L314" s="267"/>
      <c r="N314" s="285"/>
      <c r="O314" s="286"/>
      <c r="P314" s="285"/>
    </row>
    <row r="315" spans="2:16" ht="11.25">
      <c r="B315" s="264"/>
      <c r="C315" s="281"/>
      <c r="D315" s="282"/>
      <c r="E315" s="280"/>
      <c r="F315" s="287"/>
      <c r="G315" s="283"/>
      <c r="H315" s="283"/>
      <c r="I315" s="283"/>
      <c r="J315" s="283"/>
      <c r="K315" s="284"/>
      <c r="L315" s="267"/>
      <c r="N315" s="285"/>
      <c r="O315" s="286"/>
      <c r="P315" s="285"/>
    </row>
    <row r="316" spans="2:16" ht="11.25">
      <c r="B316" s="264"/>
      <c r="C316" s="281"/>
      <c r="D316" s="282"/>
      <c r="E316" s="280"/>
      <c r="F316" s="287"/>
      <c r="G316" s="283"/>
      <c r="H316" s="283"/>
      <c r="I316" s="283"/>
      <c r="J316" s="283"/>
      <c r="K316" s="284"/>
      <c r="L316" s="267"/>
      <c r="N316" s="285"/>
      <c r="O316" s="286"/>
      <c r="P316" s="285"/>
    </row>
    <row r="317" spans="2:16" ht="11.25">
      <c r="B317" s="264"/>
      <c r="C317" s="281"/>
      <c r="D317" s="282"/>
      <c r="E317" s="280"/>
      <c r="F317" s="287"/>
      <c r="G317" s="283"/>
      <c r="H317" s="283"/>
      <c r="I317" s="283"/>
      <c r="J317" s="283"/>
      <c r="K317" s="284"/>
      <c r="L317" s="267"/>
      <c r="N317" s="285"/>
      <c r="O317" s="286"/>
      <c r="P317" s="285"/>
    </row>
    <row r="318" spans="2:16" ht="11.25">
      <c r="B318" s="264"/>
      <c r="C318" s="281"/>
      <c r="D318" s="282"/>
      <c r="E318" s="280"/>
      <c r="F318" s="287"/>
      <c r="G318" s="283"/>
      <c r="H318" s="283"/>
      <c r="I318" s="283"/>
      <c r="J318" s="283"/>
      <c r="K318" s="284"/>
      <c r="L318" s="267"/>
      <c r="N318" s="285"/>
      <c r="O318" s="286"/>
      <c r="P318" s="285"/>
    </row>
    <row r="319" spans="2:16" ht="11.25">
      <c r="B319" s="264"/>
      <c r="C319" s="281"/>
      <c r="D319" s="282"/>
      <c r="E319" s="280"/>
      <c r="F319" s="287"/>
      <c r="G319" s="283"/>
      <c r="H319" s="283"/>
      <c r="I319" s="283"/>
      <c r="J319" s="283"/>
      <c r="K319" s="284"/>
      <c r="L319" s="267"/>
      <c r="N319" s="285"/>
      <c r="O319" s="286"/>
      <c r="P319" s="285"/>
    </row>
    <row r="320" spans="2:16" ht="11.25">
      <c r="B320" s="264"/>
      <c r="C320" s="281"/>
      <c r="D320" s="282"/>
      <c r="E320" s="280"/>
      <c r="F320" s="287"/>
      <c r="G320" s="283"/>
      <c r="H320" s="283"/>
      <c r="I320" s="283"/>
      <c r="J320" s="283"/>
      <c r="K320" s="284"/>
      <c r="L320" s="267"/>
      <c r="N320" s="285"/>
      <c r="O320" s="286"/>
      <c r="P320" s="285"/>
    </row>
    <row r="321" spans="2:16" ht="11.25">
      <c r="B321" s="264"/>
      <c r="C321" s="281"/>
      <c r="D321" s="282"/>
      <c r="E321" s="280"/>
      <c r="F321" s="287"/>
      <c r="G321" s="283"/>
      <c r="H321" s="283"/>
      <c r="I321" s="283"/>
      <c r="J321" s="283"/>
      <c r="K321" s="284"/>
      <c r="L321" s="267"/>
      <c r="N321" s="285"/>
      <c r="O321" s="286"/>
      <c r="P321" s="285"/>
    </row>
    <row r="322" spans="2:16" ht="11.25">
      <c r="B322" s="264"/>
      <c r="C322" s="281"/>
      <c r="D322" s="282"/>
      <c r="E322" s="280"/>
      <c r="F322" s="287"/>
      <c r="G322" s="283"/>
      <c r="H322" s="283"/>
      <c r="I322" s="283"/>
      <c r="J322" s="283"/>
      <c r="K322" s="284"/>
      <c r="L322" s="267"/>
      <c r="N322" s="285"/>
      <c r="O322" s="286"/>
      <c r="P322" s="285"/>
    </row>
    <row r="323" spans="2:16" ht="11.25">
      <c r="B323" s="264"/>
      <c r="C323" s="281"/>
      <c r="D323" s="282"/>
      <c r="E323" s="280"/>
      <c r="F323" s="287"/>
      <c r="G323" s="283"/>
      <c r="H323" s="283"/>
      <c r="I323" s="283"/>
      <c r="J323" s="283"/>
      <c r="K323" s="284"/>
      <c r="L323" s="267"/>
      <c r="N323" s="285"/>
      <c r="O323" s="286"/>
      <c r="P323" s="285"/>
    </row>
    <row r="324" spans="2:16" ht="11.25">
      <c r="B324" s="264"/>
      <c r="C324" s="281"/>
      <c r="D324" s="282"/>
      <c r="E324" s="280"/>
      <c r="F324" s="287"/>
      <c r="G324" s="283"/>
      <c r="H324" s="283"/>
      <c r="I324" s="283"/>
      <c r="J324" s="283"/>
      <c r="K324" s="284"/>
      <c r="L324" s="267"/>
      <c r="N324" s="285"/>
      <c r="O324" s="286"/>
      <c r="P324" s="285"/>
    </row>
    <row r="325" spans="2:16" ht="11.25">
      <c r="B325" s="264"/>
      <c r="C325" s="281"/>
      <c r="D325" s="282"/>
      <c r="E325" s="280"/>
      <c r="F325" s="287"/>
      <c r="G325" s="283"/>
      <c r="H325" s="283"/>
      <c r="I325" s="283"/>
      <c r="J325" s="283"/>
      <c r="K325" s="284"/>
      <c r="L325" s="267"/>
      <c r="N325" s="285"/>
      <c r="O325" s="286"/>
      <c r="P325" s="285"/>
    </row>
    <row r="326" spans="2:16" ht="11.25">
      <c r="B326" s="264"/>
      <c r="C326" s="281"/>
      <c r="D326" s="282"/>
      <c r="E326" s="280"/>
      <c r="F326" s="287"/>
      <c r="G326" s="283"/>
      <c r="H326" s="283"/>
      <c r="I326" s="283"/>
      <c r="J326" s="283"/>
      <c r="K326" s="284"/>
      <c r="L326" s="267"/>
      <c r="N326" s="285"/>
      <c r="O326" s="286"/>
      <c r="P326" s="285"/>
    </row>
    <row r="327" spans="2:16" ht="11.25">
      <c r="B327" s="264"/>
      <c r="C327" s="281"/>
      <c r="D327" s="282"/>
      <c r="E327" s="280"/>
      <c r="F327" s="287"/>
      <c r="G327" s="283"/>
      <c r="H327" s="283"/>
      <c r="I327" s="283"/>
      <c r="J327" s="283"/>
      <c r="K327" s="284"/>
      <c r="L327" s="267"/>
      <c r="N327" s="285"/>
      <c r="O327" s="286"/>
      <c r="P327" s="285"/>
    </row>
    <row r="328" spans="2:16" ht="11.25">
      <c r="B328" s="264"/>
      <c r="C328" s="281"/>
      <c r="D328" s="282"/>
      <c r="E328" s="280"/>
      <c r="F328" s="287"/>
      <c r="G328" s="283"/>
      <c r="H328" s="283"/>
      <c r="I328" s="283"/>
      <c r="J328" s="283"/>
      <c r="K328" s="284"/>
      <c r="L328" s="267"/>
      <c r="N328" s="285"/>
      <c r="O328" s="286"/>
      <c r="P328" s="285"/>
    </row>
    <row r="329" spans="2:16" ht="11.25">
      <c r="B329" s="264"/>
      <c r="C329" s="281"/>
      <c r="D329" s="282"/>
      <c r="E329" s="280"/>
      <c r="F329" s="287"/>
      <c r="G329" s="283"/>
      <c r="H329" s="283"/>
      <c r="I329" s="283"/>
      <c r="J329" s="283"/>
      <c r="K329" s="284"/>
      <c r="L329" s="267"/>
      <c r="N329" s="285"/>
      <c r="O329" s="286"/>
      <c r="P329" s="285"/>
    </row>
    <row r="330" spans="2:16" ht="11.25">
      <c r="B330" s="264"/>
      <c r="C330" s="281"/>
      <c r="D330" s="282"/>
      <c r="E330" s="280"/>
      <c r="F330" s="287"/>
      <c r="G330" s="283"/>
      <c r="H330" s="283"/>
      <c r="I330" s="283"/>
      <c r="J330" s="283"/>
      <c r="K330" s="284"/>
      <c r="L330" s="267"/>
      <c r="N330" s="285"/>
      <c r="O330" s="286"/>
      <c r="P330" s="285"/>
    </row>
    <row r="331" spans="2:16" ht="11.25">
      <c r="B331" s="264"/>
      <c r="C331" s="281"/>
      <c r="D331" s="282"/>
      <c r="E331" s="280"/>
      <c r="F331" s="287"/>
      <c r="G331" s="283"/>
      <c r="H331" s="283"/>
      <c r="I331" s="283"/>
      <c r="J331" s="283"/>
      <c r="K331" s="284"/>
      <c r="L331" s="267"/>
      <c r="N331" s="285"/>
      <c r="O331" s="286"/>
      <c r="P331" s="285"/>
    </row>
    <row r="332" spans="2:16" ht="11.25">
      <c r="B332" s="264"/>
      <c r="C332" s="281"/>
      <c r="D332" s="282"/>
      <c r="E332" s="280"/>
      <c r="F332" s="287"/>
      <c r="G332" s="283"/>
      <c r="H332" s="283"/>
      <c r="I332" s="283"/>
      <c r="J332" s="283"/>
      <c r="K332" s="284"/>
      <c r="L332" s="267"/>
      <c r="N332" s="285"/>
      <c r="O332" s="286"/>
      <c r="P332" s="285"/>
    </row>
    <row r="333" spans="2:16" ht="11.25">
      <c r="B333" s="264"/>
      <c r="C333" s="281"/>
      <c r="D333" s="282"/>
      <c r="E333" s="280"/>
      <c r="F333" s="287"/>
      <c r="G333" s="283"/>
      <c r="H333" s="283"/>
      <c r="I333" s="283"/>
      <c r="J333" s="283"/>
      <c r="K333" s="284"/>
      <c r="L333" s="267"/>
      <c r="N333" s="285"/>
      <c r="O333" s="286"/>
      <c r="P333" s="285"/>
    </row>
    <row r="334" spans="2:16" ht="11.25">
      <c r="B334" s="264"/>
      <c r="C334" s="281"/>
      <c r="D334" s="282"/>
      <c r="E334" s="280"/>
      <c r="F334" s="287"/>
      <c r="G334" s="283"/>
      <c r="H334" s="283"/>
      <c r="I334" s="283"/>
      <c r="J334" s="283"/>
      <c r="K334" s="284"/>
      <c r="L334" s="267"/>
      <c r="N334" s="285"/>
      <c r="O334" s="286"/>
      <c r="P334" s="285"/>
    </row>
    <row r="335" spans="2:16" ht="11.25">
      <c r="B335" s="264"/>
      <c r="C335" s="281"/>
      <c r="D335" s="282"/>
      <c r="E335" s="280"/>
      <c r="F335" s="287"/>
      <c r="G335" s="283"/>
      <c r="H335" s="283"/>
      <c r="I335" s="283"/>
      <c r="J335" s="283"/>
      <c r="K335" s="284"/>
      <c r="L335" s="267"/>
      <c r="N335" s="285"/>
      <c r="O335" s="286"/>
      <c r="P335" s="285"/>
    </row>
    <row r="336" spans="2:16" ht="11.25">
      <c r="B336" s="264"/>
      <c r="C336" s="281"/>
      <c r="D336" s="282"/>
      <c r="E336" s="280"/>
      <c r="F336" s="287"/>
      <c r="G336" s="283"/>
      <c r="H336" s="283"/>
      <c r="I336" s="283"/>
      <c r="J336" s="283"/>
      <c r="K336" s="284"/>
      <c r="L336" s="267"/>
      <c r="N336" s="285"/>
      <c r="O336" s="286"/>
      <c r="P336" s="285"/>
    </row>
    <row r="337" spans="2:16" ht="11.25">
      <c r="B337" s="264"/>
      <c r="C337" s="281"/>
      <c r="D337" s="282"/>
      <c r="E337" s="280"/>
      <c r="F337" s="287"/>
      <c r="G337" s="283"/>
      <c r="H337" s="283"/>
      <c r="I337" s="283"/>
      <c r="J337" s="283"/>
      <c r="K337" s="284"/>
      <c r="L337" s="267"/>
      <c r="N337" s="285"/>
      <c r="O337" s="286"/>
      <c r="P337" s="285"/>
    </row>
    <row r="338" spans="2:16" ht="11.25">
      <c r="B338" s="264"/>
      <c r="C338" s="281"/>
      <c r="D338" s="282"/>
      <c r="E338" s="280"/>
      <c r="F338" s="287"/>
      <c r="G338" s="283"/>
      <c r="H338" s="283"/>
      <c r="I338" s="283"/>
      <c r="J338" s="283"/>
      <c r="K338" s="284"/>
      <c r="L338" s="267"/>
      <c r="N338" s="285"/>
      <c r="O338" s="286"/>
      <c r="P338" s="285"/>
    </row>
    <row r="339" spans="2:16" ht="11.25">
      <c r="B339" s="264"/>
      <c r="C339" s="281"/>
      <c r="D339" s="282"/>
      <c r="E339" s="280"/>
      <c r="F339" s="287"/>
      <c r="G339" s="283"/>
      <c r="H339" s="283"/>
      <c r="I339" s="283"/>
      <c r="J339" s="283"/>
      <c r="K339" s="284"/>
      <c r="L339" s="267"/>
      <c r="N339" s="285"/>
      <c r="O339" s="286"/>
      <c r="P339" s="285"/>
    </row>
    <row r="340" spans="2:16" ht="11.25">
      <c r="B340" s="264"/>
      <c r="C340" s="281"/>
      <c r="D340" s="282"/>
      <c r="E340" s="280"/>
      <c r="F340" s="287"/>
      <c r="G340" s="283"/>
      <c r="H340" s="283"/>
      <c r="I340" s="283"/>
      <c r="J340" s="283"/>
      <c r="K340" s="284"/>
      <c r="L340" s="267"/>
      <c r="N340" s="285"/>
      <c r="O340" s="286"/>
      <c r="P340" s="285"/>
    </row>
    <row r="341" spans="2:16" ht="11.25">
      <c r="B341" s="264"/>
      <c r="C341" s="281"/>
      <c r="D341" s="282"/>
      <c r="E341" s="280"/>
      <c r="F341" s="287"/>
      <c r="G341" s="283"/>
      <c r="H341" s="283"/>
      <c r="I341" s="283"/>
      <c r="J341" s="283"/>
      <c r="K341" s="284"/>
      <c r="L341" s="267"/>
      <c r="N341" s="285"/>
      <c r="O341" s="286"/>
      <c r="P341" s="285"/>
    </row>
    <row r="342" spans="2:16" ht="11.25">
      <c r="B342" s="264"/>
      <c r="C342" s="281"/>
      <c r="D342" s="288"/>
      <c r="E342" s="280"/>
      <c r="F342" s="287"/>
      <c r="G342" s="283"/>
      <c r="H342" s="283"/>
      <c r="I342" s="283"/>
      <c r="J342" s="283"/>
      <c r="K342" s="289"/>
      <c r="L342" s="267"/>
    </row>
    <row r="343" spans="2:16" ht="11.25">
      <c r="B343" s="264"/>
      <c r="C343" s="251"/>
      <c r="D343" s="290"/>
      <c r="E343" s="291"/>
      <c r="F343" s="292"/>
      <c r="G343" s="292"/>
      <c r="H343" s="292"/>
      <c r="I343" s="292"/>
      <c r="J343" s="292"/>
      <c r="K343" s="293"/>
      <c r="L343" s="267"/>
    </row>
    <row r="344" spans="2:16" ht="11.25">
      <c r="B344" s="264"/>
      <c r="C344" s="281"/>
      <c r="D344" s="294" t="s">
        <v>67</v>
      </c>
      <c r="E344" s="295"/>
      <c r="F344" s="296"/>
      <c r="G344" s="297"/>
      <c r="H344" s="283">
        <f>ROUND(SUM(H286:H343),2)</f>
        <v>236.98</v>
      </c>
      <c r="I344" s="283">
        <f>ROUND(SUM(I286:I343),2)</f>
        <v>0</v>
      </c>
      <c r="J344" s="283">
        <f>ROUND(SUM(J286:J343),2)</f>
        <v>70.28</v>
      </c>
      <c r="K344" s="283">
        <f>SUM(H344:J344)</f>
        <v>307.26</v>
      </c>
      <c r="L344" s="267"/>
    </row>
    <row r="345" spans="2:16" ht="11.25">
      <c r="B345" s="264"/>
      <c r="C345" s="281"/>
      <c r="D345" s="288" t="s">
        <v>68</v>
      </c>
      <c r="E345" s="280" t="s">
        <v>69</v>
      </c>
      <c r="F345" s="283">
        <v>0</v>
      </c>
      <c r="G345" s="283">
        <f>J344</f>
        <v>70.28</v>
      </c>
      <c r="H345" s="298"/>
      <c r="I345" s="299"/>
      <c r="J345" s="300">
        <f>ROUND(F345*G345/100,2)</f>
        <v>0</v>
      </c>
      <c r="K345" s="301"/>
      <c r="L345" s="267"/>
    </row>
    <row r="346" spans="2:16" ht="11.25">
      <c r="B346" s="264"/>
      <c r="C346" s="281"/>
      <c r="D346" s="288" t="s">
        <v>70</v>
      </c>
      <c r="E346" s="280" t="s">
        <v>69</v>
      </c>
      <c r="F346" s="283">
        <v>0</v>
      </c>
      <c r="G346" s="283">
        <f>I344</f>
        <v>0</v>
      </c>
      <c r="H346" s="301"/>
      <c r="I346" s="283">
        <f>ROUND(F346*G346/100,2)</f>
        <v>0</v>
      </c>
      <c r="J346" s="298"/>
      <c r="K346" s="299"/>
      <c r="L346" s="267"/>
    </row>
    <row r="347" spans="2:16" ht="11.25">
      <c r="B347" s="264"/>
      <c r="C347" s="281"/>
      <c r="D347" s="288" t="s">
        <v>71</v>
      </c>
      <c r="E347" s="280" t="s">
        <v>69</v>
      </c>
      <c r="F347" s="283">
        <v>0</v>
      </c>
      <c r="G347" s="283">
        <f>H344</f>
        <v>236.98</v>
      </c>
      <c r="H347" s="283">
        <f>ROUND(F347/100*G347,2)</f>
        <v>0</v>
      </c>
      <c r="I347" s="298"/>
      <c r="J347" s="302"/>
      <c r="K347" s="299"/>
      <c r="L347" s="267"/>
    </row>
    <row r="348" spans="2:16" ht="11.25">
      <c r="B348" s="264"/>
      <c r="C348" s="281"/>
      <c r="D348" s="294" t="s">
        <v>72</v>
      </c>
      <c r="E348" s="295"/>
      <c r="F348" s="296"/>
      <c r="G348" s="297"/>
      <c r="H348" s="283">
        <f>SUM(H344,H347)</f>
        <v>236.98</v>
      </c>
      <c r="I348" s="283">
        <f>SUM(I344,I346)</f>
        <v>0</v>
      </c>
      <c r="J348" s="283">
        <f>SUM(J344:J345)</f>
        <v>70.28</v>
      </c>
      <c r="K348" s="283">
        <f>SUM(H348:J348)</f>
        <v>307.26</v>
      </c>
      <c r="L348" s="267"/>
    </row>
    <row r="349" spans="2:16" ht="18">
      <c r="B349" s="264"/>
      <c r="C349" s="281"/>
      <c r="D349" s="288" t="s">
        <v>73</v>
      </c>
      <c r="E349" s="280" t="s">
        <v>69</v>
      </c>
      <c r="F349" s="283"/>
      <c r="G349" s="283">
        <f>SUM(K348)</f>
        <v>307.26</v>
      </c>
      <c r="H349" s="298"/>
      <c r="I349" s="302"/>
      <c r="J349" s="299"/>
      <c r="K349" s="283">
        <f>ROUND(F349*G349/100,2)</f>
        <v>0</v>
      </c>
      <c r="L349" s="267"/>
      <c r="M349" s="303"/>
    </row>
    <row r="350" spans="2:16" ht="11.25">
      <c r="B350" s="264"/>
      <c r="C350" s="281"/>
      <c r="D350" s="294" t="s">
        <v>74</v>
      </c>
      <c r="E350" s="304"/>
      <c r="F350" s="304"/>
      <c r="G350" s="304"/>
      <c r="H350" s="304"/>
      <c r="I350" s="304"/>
      <c r="J350" s="305"/>
      <c r="K350" s="283">
        <f>SUM(K348:K349)</f>
        <v>307.26</v>
      </c>
      <c r="L350" s="267"/>
    </row>
    <row r="351" spans="2:16" ht="11.25">
      <c r="B351" s="264"/>
      <c r="C351" s="281"/>
      <c r="D351" s="294" t="s">
        <v>75</v>
      </c>
      <c r="E351" s="305"/>
      <c r="F351" s="283">
        <v>1</v>
      </c>
      <c r="G351" s="283">
        <f>K350</f>
        <v>307.26</v>
      </c>
      <c r="H351" s="298"/>
      <c r="I351" s="302"/>
      <c r="J351" s="299"/>
      <c r="K351" s="283">
        <f>ROUND(G351/F351,2)</f>
        <v>307.26</v>
      </c>
      <c r="L351" s="267"/>
    </row>
    <row r="352" spans="2:16" ht="11.25">
      <c r="B352" s="264"/>
      <c r="C352" s="281"/>
      <c r="D352" s="306" t="s">
        <v>76</v>
      </c>
      <c r="E352" s="307"/>
      <c r="F352" s="307"/>
      <c r="G352" s="307"/>
      <c r="H352" s="307"/>
      <c r="I352" s="307"/>
      <c r="J352" s="308"/>
      <c r="K352" s="309">
        <f>K351</f>
        <v>307.26</v>
      </c>
      <c r="L352" s="267"/>
      <c r="N352" s="310"/>
      <c r="O352" s="310"/>
      <c r="P352" s="310"/>
    </row>
    <row r="353" spans="2:12" ht="11.25">
      <c r="B353" s="270"/>
      <c r="C353" s="311"/>
      <c r="D353" s="312"/>
      <c r="E353" s="312"/>
      <c r="F353" s="312"/>
      <c r="G353" s="312"/>
      <c r="H353" s="312"/>
      <c r="I353" s="312"/>
      <c r="J353" s="312"/>
      <c r="K353" s="312"/>
      <c r="L353" s="273"/>
    </row>
    <row r="354" spans="2:12" ht="11.25">
      <c r="B354" s="260"/>
      <c r="C354" s="313"/>
      <c r="D354" s="265"/>
      <c r="E354" s="265"/>
      <c r="F354" s="265"/>
      <c r="G354" s="265"/>
      <c r="H354" s="265"/>
      <c r="I354" s="265"/>
      <c r="J354" s="265"/>
      <c r="K354" s="265"/>
      <c r="L354" s="263"/>
    </row>
    <row r="355" spans="2:12" ht="11.25">
      <c r="B355" s="264"/>
      <c r="C355" s="314" t="s">
        <v>56</v>
      </c>
      <c r="D355" s="315" t="s">
        <v>77</v>
      </c>
      <c r="E355" s="265"/>
      <c r="F355" s="265"/>
      <c r="G355" s="265"/>
      <c r="H355" s="265"/>
      <c r="I355" s="265"/>
      <c r="J355" s="265"/>
      <c r="K355" s="316"/>
      <c r="L355" s="267"/>
    </row>
    <row r="356" spans="2:12" ht="11.25">
      <c r="B356" s="264"/>
      <c r="C356" s="317"/>
      <c r="D356" s="491" t="s">
        <v>89</v>
      </c>
      <c r="E356" s="491"/>
      <c r="F356" s="491"/>
      <c r="G356" s="491"/>
      <c r="H356" s="491"/>
      <c r="I356" s="491"/>
      <c r="J356" s="491"/>
      <c r="K356" s="492"/>
      <c r="L356" s="267"/>
    </row>
    <row r="357" spans="2:12" ht="11.25">
      <c r="B357" s="264"/>
      <c r="C357" s="318"/>
      <c r="D357" s="501"/>
      <c r="E357" s="501"/>
      <c r="F357" s="501"/>
      <c r="G357" s="501"/>
      <c r="H357" s="501"/>
      <c r="I357" s="501"/>
      <c r="J357" s="501"/>
      <c r="K357" s="502"/>
      <c r="L357" s="267"/>
    </row>
    <row r="358" spans="2:12" ht="11.25">
      <c r="B358" s="264"/>
      <c r="C358" s="319"/>
      <c r="D358" s="290"/>
      <c r="E358" s="252"/>
      <c r="F358" s="252"/>
      <c r="G358" s="252"/>
      <c r="H358" s="252"/>
      <c r="I358" s="252"/>
      <c r="J358" s="252"/>
      <c r="K358" s="252"/>
      <c r="L358" s="267"/>
    </row>
    <row r="359" spans="2:12" ht="11.25">
      <c r="B359" s="264"/>
      <c r="C359" s="314" t="s">
        <v>60</v>
      </c>
      <c r="D359" s="315" t="s">
        <v>78</v>
      </c>
      <c r="E359" s="265"/>
      <c r="F359" s="265"/>
      <c r="G359" s="265"/>
      <c r="H359" s="265"/>
      <c r="I359" s="265"/>
      <c r="J359" s="265"/>
      <c r="K359" s="316"/>
      <c r="L359" s="267"/>
    </row>
    <row r="360" spans="2:12" ht="11.25">
      <c r="B360" s="264"/>
      <c r="C360" s="318"/>
      <c r="D360" s="320"/>
      <c r="E360" s="312"/>
      <c r="F360" s="312"/>
      <c r="G360" s="312"/>
      <c r="H360" s="312"/>
      <c r="I360" s="312"/>
      <c r="J360" s="312"/>
      <c r="K360" s="321"/>
      <c r="L360" s="267"/>
    </row>
    <row r="361" spans="2:12" ht="11.25">
      <c r="B361" s="270"/>
      <c r="C361" s="412"/>
      <c r="D361" s="320"/>
      <c r="E361" s="312"/>
      <c r="F361" s="312"/>
      <c r="G361" s="312"/>
      <c r="H361" s="312"/>
      <c r="I361" s="312"/>
      <c r="J361" s="312"/>
      <c r="K361" s="312"/>
      <c r="L361" s="273"/>
    </row>
    <row r="362" spans="2:12" ht="6" customHeight="1">
      <c r="B362" s="413"/>
      <c r="C362" s="414"/>
      <c r="D362" s="304"/>
      <c r="E362" s="415"/>
      <c r="F362" s="415"/>
      <c r="G362" s="415"/>
      <c r="H362" s="415"/>
      <c r="I362" s="415"/>
      <c r="J362" s="415"/>
      <c r="K362" s="415"/>
      <c r="L362" s="416"/>
    </row>
    <row r="363" spans="2:12" ht="30.6" customHeight="1">
      <c r="B363" s="254"/>
      <c r="C363" s="506" t="s">
        <v>39</v>
      </c>
      <c r="D363" s="507"/>
      <c r="E363" s="507"/>
      <c r="F363" s="507"/>
      <c r="G363" s="507"/>
      <c r="H363" s="507"/>
      <c r="I363" s="507"/>
      <c r="J363" s="507"/>
      <c r="K363" s="508"/>
      <c r="L363" s="255"/>
    </row>
    <row r="364" spans="2:12" ht="5.0999999999999996" customHeight="1">
      <c r="B364" s="256"/>
      <c r="C364" s="257"/>
      <c r="D364" s="257"/>
      <c r="E364" s="257"/>
      <c r="F364" s="257"/>
      <c r="G364" s="257"/>
      <c r="H364" s="257"/>
      <c r="I364" s="257"/>
      <c r="J364" s="257"/>
      <c r="K364" s="257"/>
      <c r="L364" s="258"/>
    </row>
    <row r="365" spans="2:12" ht="9.9499999999999993" customHeight="1">
      <c r="B365" s="259"/>
      <c r="C365" s="259"/>
      <c r="D365" s="259"/>
      <c r="E365" s="259"/>
      <c r="F365" s="259"/>
      <c r="G365" s="259"/>
      <c r="H365" s="259"/>
      <c r="I365" s="259"/>
      <c r="J365" s="259"/>
      <c r="K365" s="259"/>
      <c r="L365" s="259"/>
    </row>
    <row r="366" spans="2:12" ht="5.0999999999999996" customHeight="1">
      <c r="B366" s="260"/>
      <c r="C366" s="261"/>
      <c r="D366" s="262"/>
      <c r="E366" s="262"/>
      <c r="F366" s="262"/>
      <c r="G366" s="262"/>
      <c r="H366" s="262"/>
      <c r="I366" s="262"/>
      <c r="J366" s="262"/>
      <c r="K366" s="262"/>
      <c r="L366" s="263"/>
    </row>
    <row r="367" spans="2:12" ht="15" customHeight="1">
      <c r="B367" s="264"/>
      <c r="C367" s="495" t="s">
        <v>40</v>
      </c>
      <c r="D367" s="496"/>
      <c r="E367" s="265"/>
      <c r="F367" s="265"/>
      <c r="G367" s="265"/>
      <c r="H367" s="266" t="s">
        <v>41</v>
      </c>
      <c r="I367" s="266" t="s">
        <v>42</v>
      </c>
      <c r="J367" s="266" t="s">
        <v>43</v>
      </c>
      <c r="K367" s="266" t="s">
        <v>44</v>
      </c>
      <c r="L367" s="267"/>
    </row>
    <row r="368" spans="2:12" ht="41.25" customHeight="1">
      <c r="B368" s="264"/>
      <c r="C368" s="509" t="s">
        <v>105</v>
      </c>
      <c r="D368" s="510"/>
      <c r="E368" s="510"/>
      <c r="F368" s="510"/>
      <c r="G368" s="511"/>
      <c r="H368" s="348" t="s">
        <v>504</v>
      </c>
      <c r="I368" s="268" t="s">
        <v>405</v>
      </c>
      <c r="J368" s="269" t="s">
        <v>85</v>
      </c>
      <c r="K368" s="269" t="s">
        <v>421</v>
      </c>
      <c r="L368" s="267"/>
    </row>
    <row r="369" spans="2:17" ht="5.0999999999999996" customHeight="1">
      <c r="B369" s="270"/>
      <c r="C369" s="271"/>
      <c r="D369" s="271"/>
      <c r="E369" s="271"/>
      <c r="F369" s="271"/>
      <c r="G369" s="271"/>
      <c r="H369" s="271"/>
      <c r="I369" s="271"/>
      <c r="J369" s="272"/>
      <c r="K369" s="272"/>
      <c r="L369" s="273"/>
    </row>
    <row r="370" spans="2:17" ht="9.9499999999999993" customHeight="1">
      <c r="B370" s="274"/>
      <c r="C370" s="275"/>
      <c r="D370" s="275"/>
      <c r="E370" s="275"/>
      <c r="F370" s="275"/>
      <c r="G370" s="275"/>
      <c r="H370" s="275"/>
      <c r="I370" s="275"/>
      <c r="J370" s="276"/>
      <c r="K370" s="276"/>
      <c r="L370" s="274"/>
    </row>
    <row r="371" spans="2:17" ht="5.0999999999999996" customHeight="1">
      <c r="B371" s="260"/>
      <c r="C371" s="261"/>
      <c r="D371" s="262"/>
      <c r="E371" s="262"/>
      <c r="F371" s="262"/>
      <c r="G371" s="262"/>
      <c r="H371" s="262"/>
      <c r="I371" s="262"/>
      <c r="J371" s="262"/>
      <c r="K371" s="262"/>
      <c r="L371" s="263"/>
    </row>
    <row r="372" spans="2:17" s="279" customFormat="1" ht="21.95" customHeight="1">
      <c r="B372" s="277"/>
      <c r="C372" s="500" t="s">
        <v>46</v>
      </c>
      <c r="D372" s="490" t="s">
        <v>47</v>
      </c>
      <c r="E372" s="490" t="s">
        <v>48</v>
      </c>
      <c r="F372" s="490" t="s">
        <v>49</v>
      </c>
      <c r="G372" s="490" t="s">
        <v>50</v>
      </c>
      <c r="H372" s="490" t="s">
        <v>51</v>
      </c>
      <c r="I372" s="490"/>
      <c r="J372" s="490"/>
      <c r="K372" s="490" t="s">
        <v>52</v>
      </c>
      <c r="L372" s="278"/>
    </row>
    <row r="373" spans="2:17" s="279" customFormat="1" ht="11.25">
      <c r="B373" s="277"/>
      <c r="C373" s="500"/>
      <c r="D373" s="490"/>
      <c r="E373" s="490"/>
      <c r="F373" s="490"/>
      <c r="G373" s="490"/>
      <c r="H373" s="280" t="s">
        <v>53</v>
      </c>
      <c r="I373" s="280" t="s">
        <v>54</v>
      </c>
      <c r="J373" s="280" t="s">
        <v>55</v>
      </c>
      <c r="K373" s="490"/>
      <c r="L373" s="278"/>
    </row>
    <row r="374" spans="2:17" ht="11.25">
      <c r="B374" s="264"/>
      <c r="C374" s="251"/>
      <c r="D374" s="252"/>
      <c r="E374" s="252"/>
      <c r="F374" s="252"/>
      <c r="G374" s="252"/>
      <c r="H374" s="252"/>
      <c r="I374" s="252"/>
      <c r="J374" s="252"/>
      <c r="K374" s="252"/>
      <c r="L374" s="267"/>
    </row>
    <row r="375" spans="2:17" ht="11.25">
      <c r="B375" s="264"/>
      <c r="C375" s="281" t="s">
        <v>56</v>
      </c>
      <c r="D375" s="282" t="s">
        <v>57</v>
      </c>
      <c r="E375" s="280" t="s">
        <v>58</v>
      </c>
      <c r="F375" s="283">
        <v>0</v>
      </c>
      <c r="G375" s="283">
        <v>60</v>
      </c>
      <c r="H375" s="283">
        <f>F375*G375</f>
        <v>0</v>
      </c>
      <c r="I375" s="283"/>
      <c r="J375" s="283"/>
      <c r="K375" s="284" t="s">
        <v>59</v>
      </c>
      <c r="L375" s="267"/>
      <c r="N375" s="285"/>
      <c r="O375" s="286"/>
      <c r="P375" s="285"/>
    </row>
    <row r="376" spans="2:17" ht="11.25">
      <c r="B376" s="264"/>
      <c r="C376" s="281" t="s">
        <v>56</v>
      </c>
      <c r="D376" s="288" t="s">
        <v>106</v>
      </c>
      <c r="E376" s="142" t="s">
        <v>107</v>
      </c>
      <c r="F376" s="283">
        <v>0.52</v>
      </c>
      <c r="G376" s="283">
        <v>3.37</v>
      </c>
      <c r="H376" s="283">
        <f>ROUND(G376*F376,2)</f>
        <v>1.75</v>
      </c>
      <c r="I376" s="283"/>
      <c r="J376" s="283"/>
      <c r="K376" s="284" t="s">
        <v>108</v>
      </c>
      <c r="L376" s="267"/>
      <c r="N376" s="285"/>
      <c r="O376" s="286" t="s">
        <v>109</v>
      </c>
      <c r="P376" s="285" t="s">
        <v>110</v>
      </c>
      <c r="Q376" s="249" t="s">
        <v>111</v>
      </c>
    </row>
    <row r="377" spans="2:17" ht="22.5">
      <c r="B377" s="264"/>
      <c r="C377" s="281" t="s">
        <v>60</v>
      </c>
      <c r="D377" s="282" t="s">
        <v>112</v>
      </c>
      <c r="E377" s="142" t="s">
        <v>107</v>
      </c>
      <c r="F377" s="283">
        <v>4</v>
      </c>
      <c r="G377" s="283">
        <v>0.47</v>
      </c>
      <c r="H377" s="283">
        <f>ROUND(G377*F377,2)</f>
        <v>1.88</v>
      </c>
      <c r="I377" s="283"/>
      <c r="J377" s="283"/>
      <c r="K377" s="284" t="s">
        <v>366</v>
      </c>
      <c r="L377" s="267"/>
      <c r="N377" s="285"/>
      <c r="O377" s="286">
        <v>3.5</v>
      </c>
      <c r="P377" s="285">
        <v>2.5</v>
      </c>
      <c r="Q377" s="249">
        <v>1.8</v>
      </c>
    </row>
    <row r="378" spans="2:17" ht="11.25">
      <c r="B378" s="264"/>
      <c r="C378" s="281" t="s">
        <v>61</v>
      </c>
      <c r="D378" s="282" t="s">
        <v>113</v>
      </c>
      <c r="E378" s="280" t="s">
        <v>114</v>
      </c>
      <c r="F378" s="283">
        <v>1.05</v>
      </c>
      <c r="G378" s="283">
        <f>MEDIAN(O378:Q378)</f>
        <v>40</v>
      </c>
      <c r="H378" s="283">
        <f>ROUND(G378*F378,2)</f>
        <v>42</v>
      </c>
      <c r="I378" s="283"/>
      <c r="J378" s="283"/>
      <c r="K378" s="349" t="s">
        <v>373</v>
      </c>
      <c r="L378" s="267"/>
      <c r="N378" s="285"/>
      <c r="O378" s="286">
        <f>16*O377</f>
        <v>56</v>
      </c>
      <c r="P378" s="286">
        <f>16*P377</f>
        <v>40</v>
      </c>
      <c r="Q378" s="286">
        <f>16*Q377</f>
        <v>28.8</v>
      </c>
    </row>
    <row r="379" spans="2:17" ht="11.25">
      <c r="B379" s="264"/>
      <c r="C379" s="281" t="s">
        <v>62</v>
      </c>
      <c r="D379" s="288" t="s">
        <v>103</v>
      </c>
      <c r="E379" s="280" t="s">
        <v>115</v>
      </c>
      <c r="F379" s="287">
        <v>0.5</v>
      </c>
      <c r="G379" s="283">
        <v>15.07</v>
      </c>
      <c r="H379" s="283"/>
      <c r="I379" s="283"/>
      <c r="J379" s="283">
        <f>ROUND(G379*F379,2)</f>
        <v>7.54</v>
      </c>
      <c r="K379" s="284" t="s">
        <v>104</v>
      </c>
      <c r="L379" s="267"/>
      <c r="N379" s="285"/>
      <c r="O379" s="285"/>
      <c r="P379" s="285"/>
    </row>
    <row r="380" spans="2:17" ht="11.25">
      <c r="B380" s="264"/>
      <c r="C380" s="281" t="s">
        <v>63</v>
      </c>
      <c r="D380" s="288" t="s">
        <v>65</v>
      </c>
      <c r="E380" s="280" t="s">
        <v>115</v>
      </c>
      <c r="F380" s="287">
        <v>1.2</v>
      </c>
      <c r="G380" s="283">
        <v>11.96</v>
      </c>
      <c r="H380" s="283"/>
      <c r="I380" s="283"/>
      <c r="J380" s="283">
        <f>ROUND(G380*F380,2)</f>
        <v>14.35</v>
      </c>
      <c r="K380" s="284">
        <v>88316</v>
      </c>
      <c r="L380" s="267"/>
      <c r="N380" s="285"/>
      <c r="O380" s="285"/>
      <c r="P380" s="285"/>
    </row>
    <row r="381" spans="2:17" ht="11.25">
      <c r="B381" s="264"/>
      <c r="C381" s="281"/>
      <c r="D381" s="288"/>
      <c r="E381" s="280"/>
      <c r="F381" s="287"/>
      <c r="G381" s="283"/>
      <c r="H381" s="283"/>
      <c r="I381" s="283"/>
      <c r="J381" s="283"/>
      <c r="K381" s="284"/>
      <c r="L381" s="267"/>
      <c r="N381" s="285"/>
      <c r="O381" s="285"/>
      <c r="P381" s="285"/>
    </row>
    <row r="382" spans="2:17" ht="11.25">
      <c r="B382" s="264"/>
      <c r="C382" s="281"/>
      <c r="D382" s="288"/>
      <c r="E382" s="280"/>
      <c r="F382" s="287"/>
      <c r="G382" s="283"/>
      <c r="H382" s="283"/>
      <c r="I382" s="283"/>
      <c r="J382" s="283"/>
      <c r="K382" s="284"/>
      <c r="L382" s="267"/>
      <c r="N382" s="285"/>
      <c r="O382" s="285"/>
      <c r="P382" s="285"/>
    </row>
    <row r="383" spans="2:17" ht="11.25">
      <c r="B383" s="264"/>
      <c r="C383" s="281"/>
      <c r="D383" s="288"/>
      <c r="E383" s="280"/>
      <c r="F383" s="287"/>
      <c r="G383" s="283"/>
      <c r="H383" s="283"/>
      <c r="I383" s="283"/>
      <c r="J383" s="283"/>
      <c r="K383" s="284"/>
      <c r="L383" s="267"/>
      <c r="N383" s="285"/>
      <c r="O383" s="285"/>
      <c r="P383" s="285"/>
    </row>
    <row r="384" spans="2:17" ht="11.25">
      <c r="B384" s="264"/>
      <c r="C384" s="281"/>
      <c r="D384" s="288"/>
      <c r="E384" s="280"/>
      <c r="F384" s="287"/>
      <c r="G384" s="283"/>
      <c r="H384" s="283"/>
      <c r="I384" s="283"/>
      <c r="J384" s="283"/>
      <c r="K384" s="284"/>
      <c r="L384" s="267"/>
      <c r="N384" s="285"/>
      <c r="O384" s="285"/>
      <c r="P384" s="285"/>
    </row>
    <row r="385" spans="2:16" ht="11.25">
      <c r="B385" s="264"/>
      <c r="C385" s="281"/>
      <c r="D385" s="288"/>
      <c r="E385" s="280"/>
      <c r="F385" s="287"/>
      <c r="G385" s="283"/>
      <c r="H385" s="283"/>
      <c r="I385" s="283"/>
      <c r="J385" s="283"/>
      <c r="K385" s="284"/>
      <c r="L385" s="267"/>
      <c r="N385" s="285"/>
      <c r="O385" s="285"/>
      <c r="P385" s="285"/>
    </row>
    <row r="386" spans="2:16" ht="11.25">
      <c r="B386" s="264"/>
      <c r="C386" s="281"/>
      <c r="D386" s="288"/>
      <c r="E386" s="280"/>
      <c r="F386" s="287"/>
      <c r="G386" s="283"/>
      <c r="H386" s="283"/>
      <c r="I386" s="283"/>
      <c r="J386" s="283"/>
      <c r="K386" s="284"/>
      <c r="L386" s="267"/>
      <c r="N386" s="285"/>
      <c r="O386" s="285"/>
      <c r="P386" s="285"/>
    </row>
    <row r="387" spans="2:16" ht="11.25">
      <c r="B387" s="264"/>
      <c r="C387" s="281"/>
      <c r="D387" s="288"/>
      <c r="E387" s="280"/>
      <c r="F387" s="287"/>
      <c r="G387" s="283"/>
      <c r="H387" s="283"/>
      <c r="I387" s="283"/>
      <c r="J387" s="283"/>
      <c r="K387" s="284"/>
      <c r="L387" s="267"/>
      <c r="N387" s="285"/>
      <c r="O387" s="285"/>
      <c r="P387" s="285"/>
    </row>
    <row r="388" spans="2:16" ht="11.25">
      <c r="B388" s="264"/>
      <c r="C388" s="281"/>
      <c r="D388" s="288"/>
      <c r="E388" s="280"/>
      <c r="F388" s="287"/>
      <c r="G388" s="283"/>
      <c r="H388" s="283"/>
      <c r="I388" s="283"/>
      <c r="J388" s="283"/>
      <c r="K388" s="284"/>
      <c r="L388" s="267"/>
      <c r="N388" s="285"/>
      <c r="O388" s="285"/>
      <c r="P388" s="285"/>
    </row>
    <row r="389" spans="2:16" ht="11.25">
      <c r="B389" s="264"/>
      <c r="C389" s="281"/>
      <c r="D389" s="288"/>
      <c r="E389" s="280"/>
      <c r="F389" s="287"/>
      <c r="G389" s="283"/>
      <c r="H389" s="283"/>
      <c r="I389" s="283"/>
      <c r="J389" s="283"/>
      <c r="K389" s="284"/>
      <c r="L389" s="267"/>
      <c r="N389" s="285"/>
      <c r="O389" s="285"/>
      <c r="P389" s="285"/>
    </row>
    <row r="390" spans="2:16" ht="11.25">
      <c r="B390" s="264"/>
      <c r="C390" s="281"/>
      <c r="D390" s="288"/>
      <c r="E390" s="280"/>
      <c r="F390" s="287"/>
      <c r="G390" s="283"/>
      <c r="H390" s="283"/>
      <c r="I390" s="283"/>
      <c r="J390" s="283"/>
      <c r="K390" s="284"/>
      <c r="L390" s="267"/>
      <c r="N390" s="285"/>
      <c r="O390" s="285"/>
      <c r="P390" s="285"/>
    </row>
    <row r="391" spans="2:16" ht="11.25">
      <c r="B391" s="264"/>
      <c r="C391" s="281"/>
      <c r="D391" s="288"/>
      <c r="E391" s="280"/>
      <c r="F391" s="287"/>
      <c r="G391" s="283"/>
      <c r="H391" s="283"/>
      <c r="I391" s="283"/>
      <c r="J391" s="283"/>
      <c r="K391" s="284"/>
      <c r="L391" s="267"/>
      <c r="N391" s="285"/>
      <c r="O391" s="285"/>
      <c r="P391" s="285"/>
    </row>
    <row r="392" spans="2:16" ht="11.25">
      <c r="B392" s="264"/>
      <c r="C392" s="281"/>
      <c r="D392" s="288"/>
      <c r="E392" s="280"/>
      <c r="F392" s="287"/>
      <c r="G392" s="283"/>
      <c r="H392" s="283"/>
      <c r="I392" s="283"/>
      <c r="J392" s="283"/>
      <c r="K392" s="284"/>
      <c r="L392" s="267"/>
      <c r="N392" s="285"/>
      <c r="O392" s="285"/>
      <c r="P392" s="285"/>
    </row>
    <row r="393" spans="2:16" ht="11.25">
      <c r="B393" s="264"/>
      <c r="C393" s="281"/>
      <c r="D393" s="288"/>
      <c r="E393" s="280"/>
      <c r="F393" s="287"/>
      <c r="G393" s="283"/>
      <c r="H393" s="283"/>
      <c r="I393" s="283"/>
      <c r="J393" s="283"/>
      <c r="K393" s="284"/>
      <c r="L393" s="267"/>
      <c r="N393" s="285"/>
      <c r="O393" s="285"/>
      <c r="P393" s="285"/>
    </row>
    <row r="394" spans="2:16" ht="11.25">
      <c r="B394" s="264"/>
      <c r="C394" s="281"/>
      <c r="D394" s="288"/>
      <c r="E394" s="280"/>
      <c r="F394" s="287"/>
      <c r="G394" s="283"/>
      <c r="H394" s="283"/>
      <c r="I394" s="283"/>
      <c r="J394" s="283"/>
      <c r="K394" s="284"/>
      <c r="L394" s="267"/>
      <c r="N394" s="285"/>
      <c r="O394" s="285"/>
      <c r="P394" s="285"/>
    </row>
    <row r="395" spans="2:16" ht="11.25">
      <c r="B395" s="264"/>
      <c r="C395" s="281"/>
      <c r="D395" s="288"/>
      <c r="E395" s="280"/>
      <c r="F395" s="287"/>
      <c r="G395" s="283"/>
      <c r="H395" s="283"/>
      <c r="I395" s="283"/>
      <c r="J395" s="283"/>
      <c r="K395" s="284"/>
      <c r="L395" s="267"/>
      <c r="N395" s="285"/>
      <c r="O395" s="285"/>
      <c r="P395" s="285"/>
    </row>
    <row r="396" spans="2:16" ht="11.25">
      <c r="B396" s="264"/>
      <c r="C396" s="281"/>
      <c r="D396" s="288"/>
      <c r="E396" s="280"/>
      <c r="F396" s="287"/>
      <c r="G396" s="283"/>
      <c r="H396" s="283"/>
      <c r="I396" s="283"/>
      <c r="J396" s="283"/>
      <c r="K396" s="284"/>
      <c r="L396" s="267"/>
      <c r="N396" s="285"/>
      <c r="O396" s="285"/>
      <c r="P396" s="285"/>
    </row>
    <row r="397" spans="2:16" ht="11.25">
      <c r="B397" s="264"/>
      <c r="C397" s="281"/>
      <c r="D397" s="288"/>
      <c r="E397" s="280"/>
      <c r="F397" s="287"/>
      <c r="G397" s="283"/>
      <c r="H397" s="283"/>
      <c r="I397" s="283"/>
      <c r="J397" s="283"/>
      <c r="K397" s="284"/>
      <c r="L397" s="267"/>
      <c r="N397" s="285"/>
      <c r="O397" s="285"/>
      <c r="P397" s="285"/>
    </row>
    <row r="398" spans="2:16" ht="11.25">
      <c r="B398" s="264"/>
      <c r="C398" s="281"/>
      <c r="D398" s="288"/>
      <c r="E398" s="280"/>
      <c r="F398" s="287"/>
      <c r="G398" s="283"/>
      <c r="H398" s="283"/>
      <c r="I398" s="283"/>
      <c r="J398" s="283"/>
      <c r="K398" s="284"/>
      <c r="L398" s="267"/>
      <c r="N398" s="285"/>
      <c r="O398" s="285"/>
      <c r="P398" s="285"/>
    </row>
    <row r="399" spans="2:16" ht="11.25">
      <c r="B399" s="264"/>
      <c r="C399" s="281"/>
      <c r="D399" s="288"/>
      <c r="E399" s="280"/>
      <c r="F399" s="287"/>
      <c r="G399" s="283"/>
      <c r="H399" s="283"/>
      <c r="I399" s="283"/>
      <c r="J399" s="283"/>
      <c r="K399" s="284"/>
      <c r="L399" s="267"/>
      <c r="N399" s="285"/>
      <c r="O399" s="285"/>
      <c r="P399" s="285"/>
    </row>
    <row r="400" spans="2:16" ht="11.25">
      <c r="B400" s="264"/>
      <c r="C400" s="281"/>
      <c r="D400" s="288"/>
      <c r="E400" s="280"/>
      <c r="F400" s="287"/>
      <c r="G400" s="283"/>
      <c r="H400" s="283"/>
      <c r="I400" s="283"/>
      <c r="J400" s="283"/>
      <c r="K400" s="284"/>
      <c r="L400" s="267"/>
      <c r="N400" s="285"/>
      <c r="O400" s="285"/>
      <c r="P400" s="285"/>
    </row>
    <row r="401" spans="2:16" ht="11.25">
      <c r="B401" s="264"/>
      <c r="C401" s="281"/>
      <c r="D401" s="288"/>
      <c r="E401" s="280"/>
      <c r="F401" s="287"/>
      <c r="G401" s="283"/>
      <c r="H401" s="283"/>
      <c r="I401" s="283"/>
      <c r="J401" s="283"/>
      <c r="K401" s="284"/>
      <c r="L401" s="267"/>
      <c r="N401" s="285"/>
      <c r="O401" s="285"/>
      <c r="P401" s="285"/>
    </row>
    <row r="402" spans="2:16" ht="11.25">
      <c r="B402" s="264"/>
      <c r="C402" s="281"/>
      <c r="D402" s="288"/>
      <c r="E402" s="280"/>
      <c r="F402" s="287"/>
      <c r="G402" s="283"/>
      <c r="H402" s="283"/>
      <c r="I402" s="283"/>
      <c r="J402" s="283"/>
      <c r="K402" s="284"/>
      <c r="L402" s="267"/>
      <c r="N402" s="285"/>
      <c r="O402" s="285"/>
      <c r="P402" s="285"/>
    </row>
    <row r="403" spans="2:16" ht="11.25">
      <c r="B403" s="264"/>
      <c r="C403" s="281"/>
      <c r="D403" s="288"/>
      <c r="E403" s="280"/>
      <c r="F403" s="287"/>
      <c r="G403" s="283"/>
      <c r="H403" s="283"/>
      <c r="I403" s="283"/>
      <c r="J403" s="283"/>
      <c r="K403" s="284"/>
      <c r="L403" s="267"/>
      <c r="N403" s="285"/>
      <c r="O403" s="285"/>
      <c r="P403" s="285"/>
    </row>
    <row r="404" spans="2:16" ht="11.25">
      <c r="B404" s="264"/>
      <c r="C404" s="281"/>
      <c r="D404" s="288"/>
      <c r="E404" s="280"/>
      <c r="F404" s="287"/>
      <c r="G404" s="283"/>
      <c r="H404" s="283"/>
      <c r="I404" s="283"/>
      <c r="J404" s="283"/>
      <c r="K404" s="284"/>
      <c r="L404" s="267"/>
      <c r="N404" s="285"/>
      <c r="O404" s="285"/>
      <c r="P404" s="285"/>
    </row>
    <row r="405" spans="2:16" ht="11.25">
      <c r="B405" s="264"/>
      <c r="C405" s="281"/>
      <c r="D405" s="288"/>
      <c r="E405" s="280"/>
      <c r="F405" s="287"/>
      <c r="G405" s="283"/>
      <c r="H405" s="283"/>
      <c r="I405" s="283"/>
      <c r="J405" s="283"/>
      <c r="K405" s="284"/>
      <c r="L405" s="267"/>
      <c r="N405" s="285"/>
      <c r="O405" s="285"/>
      <c r="P405" s="285"/>
    </row>
    <row r="406" spans="2:16" ht="11.25">
      <c r="B406" s="264"/>
      <c r="C406" s="281"/>
      <c r="D406" s="288"/>
      <c r="E406" s="280"/>
      <c r="F406" s="287"/>
      <c r="G406" s="283"/>
      <c r="H406" s="283"/>
      <c r="I406" s="283"/>
      <c r="J406" s="283"/>
      <c r="K406" s="284"/>
      <c r="L406" s="267"/>
      <c r="N406" s="285"/>
      <c r="O406" s="285"/>
      <c r="P406" s="285"/>
    </row>
    <row r="407" spans="2:16" ht="11.25">
      <c r="B407" s="264"/>
      <c r="C407" s="281"/>
      <c r="D407" s="288"/>
      <c r="E407" s="280"/>
      <c r="F407" s="287"/>
      <c r="G407" s="283"/>
      <c r="H407" s="283"/>
      <c r="I407" s="283"/>
      <c r="J407" s="283"/>
      <c r="K407" s="284"/>
      <c r="L407" s="267"/>
      <c r="N407" s="285"/>
      <c r="O407" s="285"/>
      <c r="P407" s="285"/>
    </row>
    <row r="408" spans="2:16" ht="11.25">
      <c r="B408" s="264"/>
      <c r="C408" s="281"/>
      <c r="D408" s="288"/>
      <c r="E408" s="280"/>
      <c r="F408" s="287"/>
      <c r="G408" s="283"/>
      <c r="H408" s="283"/>
      <c r="I408" s="283"/>
      <c r="J408" s="283"/>
      <c r="K408" s="284"/>
      <c r="L408" s="267"/>
      <c r="N408" s="285"/>
      <c r="O408" s="285"/>
      <c r="P408" s="285"/>
    </row>
    <row r="409" spans="2:16" ht="11.25">
      <c r="B409" s="264"/>
      <c r="C409" s="281"/>
      <c r="D409" s="288"/>
      <c r="E409" s="280"/>
      <c r="F409" s="287"/>
      <c r="G409" s="283"/>
      <c r="H409" s="283"/>
      <c r="I409" s="283"/>
      <c r="J409" s="283"/>
      <c r="K409" s="284"/>
      <c r="L409" s="267"/>
      <c r="N409" s="285"/>
      <c r="O409" s="285"/>
      <c r="P409" s="285"/>
    </row>
    <row r="410" spans="2:16" ht="11.25">
      <c r="B410" s="264"/>
      <c r="C410" s="281"/>
      <c r="D410" s="288"/>
      <c r="E410" s="280"/>
      <c r="F410" s="287"/>
      <c r="G410" s="283"/>
      <c r="H410" s="283"/>
      <c r="I410" s="283"/>
      <c r="J410" s="283"/>
      <c r="K410" s="284"/>
      <c r="L410" s="267"/>
      <c r="N410" s="285"/>
      <c r="O410" s="285"/>
      <c r="P410" s="285"/>
    </row>
    <row r="411" spans="2:16" ht="11.25">
      <c r="B411" s="264"/>
      <c r="C411" s="281"/>
      <c r="D411" s="288"/>
      <c r="E411" s="280"/>
      <c r="F411" s="287"/>
      <c r="G411" s="283"/>
      <c r="H411" s="283"/>
      <c r="I411" s="283"/>
      <c r="J411" s="283"/>
      <c r="K411" s="284"/>
      <c r="L411" s="267"/>
      <c r="N411" s="285"/>
      <c r="O411" s="285"/>
      <c r="P411" s="285"/>
    </row>
    <row r="412" spans="2:16" ht="11.25">
      <c r="B412" s="264"/>
      <c r="C412" s="281"/>
      <c r="D412" s="288"/>
      <c r="E412" s="280"/>
      <c r="F412" s="287"/>
      <c r="G412" s="283"/>
      <c r="H412" s="283"/>
      <c r="I412" s="283"/>
      <c r="J412" s="283"/>
      <c r="K412" s="284"/>
      <c r="L412" s="267"/>
      <c r="N412" s="285"/>
      <c r="O412" s="285"/>
      <c r="P412" s="285"/>
    </row>
    <row r="413" spans="2:16" ht="11.25">
      <c r="B413" s="264"/>
      <c r="C413" s="281"/>
      <c r="D413" s="288"/>
      <c r="E413" s="280"/>
      <c r="F413" s="287"/>
      <c r="G413" s="283"/>
      <c r="H413" s="283"/>
      <c r="I413" s="283"/>
      <c r="J413" s="283"/>
      <c r="K413" s="284"/>
      <c r="L413" s="267"/>
      <c r="N413" s="285"/>
      <c r="O413" s="285"/>
      <c r="P413" s="285"/>
    </row>
    <row r="414" spans="2:16" ht="11.25">
      <c r="B414" s="264"/>
      <c r="C414" s="281"/>
      <c r="D414" s="288"/>
      <c r="E414" s="280"/>
      <c r="F414" s="287"/>
      <c r="G414" s="283"/>
      <c r="H414" s="283"/>
      <c r="I414" s="283"/>
      <c r="J414" s="283"/>
      <c r="K414" s="284"/>
      <c r="L414" s="267"/>
      <c r="N414" s="285"/>
      <c r="O414" s="285"/>
      <c r="P414" s="285"/>
    </row>
    <row r="415" spans="2:16" ht="11.25">
      <c r="B415" s="264"/>
      <c r="C415" s="281"/>
      <c r="D415" s="288"/>
      <c r="E415" s="280"/>
      <c r="F415" s="287"/>
      <c r="G415" s="283"/>
      <c r="H415" s="283"/>
      <c r="I415" s="283"/>
      <c r="J415" s="283"/>
      <c r="K415" s="284"/>
      <c r="L415" s="267"/>
      <c r="N415" s="285"/>
      <c r="O415" s="285"/>
      <c r="P415" s="285"/>
    </row>
    <row r="416" spans="2:16" ht="11.25">
      <c r="B416" s="264"/>
      <c r="C416" s="281"/>
      <c r="D416" s="288"/>
      <c r="E416" s="280"/>
      <c r="F416" s="287"/>
      <c r="G416" s="283"/>
      <c r="H416" s="283"/>
      <c r="I416" s="283"/>
      <c r="J416" s="283"/>
      <c r="K416" s="284"/>
      <c r="L416" s="267"/>
      <c r="N416" s="285"/>
      <c r="O416" s="285"/>
      <c r="P416" s="285"/>
    </row>
    <row r="417" spans="2:16" ht="11.25">
      <c r="B417" s="264"/>
      <c r="C417" s="281"/>
      <c r="D417" s="288"/>
      <c r="E417" s="280"/>
      <c r="F417" s="287"/>
      <c r="G417" s="283"/>
      <c r="H417" s="283"/>
      <c r="I417" s="283"/>
      <c r="J417" s="283"/>
      <c r="K417" s="284"/>
      <c r="L417" s="267"/>
      <c r="N417" s="285"/>
      <c r="O417" s="285"/>
      <c r="P417" s="285"/>
    </row>
    <row r="418" spans="2:16" ht="11.25">
      <c r="B418" s="264"/>
      <c r="C418" s="281"/>
      <c r="D418" s="288"/>
      <c r="E418" s="280"/>
      <c r="F418" s="287"/>
      <c r="G418" s="283"/>
      <c r="H418" s="283"/>
      <c r="I418" s="283"/>
      <c r="J418" s="283"/>
      <c r="K418" s="284"/>
      <c r="L418" s="267"/>
      <c r="N418" s="285"/>
      <c r="O418" s="285"/>
      <c r="P418" s="285"/>
    </row>
    <row r="419" spans="2:16" ht="11.25">
      <c r="B419" s="264"/>
      <c r="C419" s="281"/>
      <c r="D419" s="288"/>
      <c r="E419" s="280"/>
      <c r="F419" s="287"/>
      <c r="G419" s="283"/>
      <c r="H419" s="283"/>
      <c r="I419" s="283"/>
      <c r="J419" s="283"/>
      <c r="K419" s="284"/>
      <c r="L419" s="267"/>
      <c r="N419" s="285"/>
      <c r="O419" s="285"/>
      <c r="P419" s="285"/>
    </row>
    <row r="420" spans="2:16" ht="11.25">
      <c r="B420" s="264"/>
      <c r="C420" s="281"/>
      <c r="D420" s="288"/>
      <c r="E420" s="280"/>
      <c r="F420" s="287"/>
      <c r="G420" s="283"/>
      <c r="H420" s="283"/>
      <c r="I420" s="283"/>
      <c r="J420" s="283"/>
      <c r="K420" s="284"/>
      <c r="L420" s="267"/>
      <c r="N420" s="285"/>
      <c r="O420" s="285"/>
      <c r="P420" s="285"/>
    </row>
    <row r="421" spans="2:16" ht="11.25">
      <c r="B421" s="264"/>
      <c r="C421" s="281"/>
      <c r="D421" s="288"/>
      <c r="E421" s="280"/>
      <c r="F421" s="287"/>
      <c r="G421" s="283"/>
      <c r="H421" s="283"/>
      <c r="I421" s="283"/>
      <c r="J421" s="283"/>
      <c r="K421" s="284"/>
      <c r="L421" s="267"/>
      <c r="N421" s="285"/>
      <c r="O421" s="285"/>
      <c r="P421" s="285"/>
    </row>
    <row r="422" spans="2:16" ht="11.25">
      <c r="B422" s="264"/>
      <c r="C422" s="281"/>
      <c r="D422" s="288"/>
      <c r="E422" s="280"/>
      <c r="F422" s="287"/>
      <c r="G422" s="283"/>
      <c r="H422" s="283"/>
      <c r="I422" s="283"/>
      <c r="J422" s="283"/>
      <c r="K422" s="284"/>
      <c r="L422" s="267"/>
      <c r="N422" s="285"/>
      <c r="O422" s="285"/>
      <c r="P422" s="285"/>
    </row>
    <row r="423" spans="2:16" ht="11.25">
      <c r="B423" s="264"/>
      <c r="C423" s="281"/>
      <c r="D423" s="288"/>
      <c r="E423" s="280"/>
      <c r="F423" s="287"/>
      <c r="G423" s="283"/>
      <c r="H423" s="283"/>
      <c r="I423" s="283"/>
      <c r="J423" s="283"/>
      <c r="K423" s="284"/>
      <c r="L423" s="267"/>
      <c r="N423" s="285"/>
      <c r="O423" s="285"/>
      <c r="P423" s="285"/>
    </row>
    <row r="424" spans="2:16" ht="11.25">
      <c r="B424" s="264"/>
      <c r="C424" s="281"/>
      <c r="D424" s="288"/>
      <c r="E424" s="280"/>
      <c r="F424" s="287"/>
      <c r="G424" s="283"/>
      <c r="H424" s="283"/>
      <c r="I424" s="283"/>
      <c r="J424" s="283"/>
      <c r="K424" s="284"/>
      <c r="L424" s="267"/>
      <c r="N424" s="285"/>
      <c r="O424" s="285"/>
      <c r="P424" s="285"/>
    </row>
    <row r="425" spans="2:16" ht="11.25">
      <c r="B425" s="264"/>
      <c r="C425" s="281"/>
      <c r="D425" s="288"/>
      <c r="E425" s="280"/>
      <c r="F425" s="287"/>
      <c r="G425" s="283"/>
      <c r="H425" s="283"/>
      <c r="I425" s="283"/>
      <c r="J425" s="283"/>
      <c r="K425" s="284"/>
      <c r="L425" s="267"/>
      <c r="N425" s="285"/>
      <c r="O425" s="285"/>
      <c r="P425" s="285"/>
    </row>
    <row r="426" spans="2:16" ht="11.25">
      <c r="B426" s="264"/>
      <c r="C426" s="281"/>
      <c r="D426" s="288"/>
      <c r="E426" s="280"/>
      <c r="F426" s="287"/>
      <c r="G426" s="283"/>
      <c r="H426" s="283"/>
      <c r="I426" s="283"/>
      <c r="J426" s="283"/>
      <c r="K426" s="284"/>
      <c r="L426" s="267"/>
      <c r="N426" s="285"/>
      <c r="O426" s="285"/>
      <c r="P426" s="285"/>
    </row>
    <row r="427" spans="2:16" ht="11.25">
      <c r="B427" s="264"/>
      <c r="C427" s="281"/>
      <c r="D427" s="288"/>
      <c r="E427" s="280"/>
      <c r="F427" s="287"/>
      <c r="G427" s="283"/>
      <c r="H427" s="283"/>
      <c r="I427" s="283"/>
      <c r="J427" s="283"/>
      <c r="K427" s="289"/>
      <c r="L427" s="267"/>
      <c r="N427" s="285"/>
      <c r="O427" s="285"/>
      <c r="P427" s="285"/>
    </row>
    <row r="428" spans="2:16" ht="11.25">
      <c r="B428" s="264"/>
      <c r="C428" s="281"/>
      <c r="D428" s="288"/>
      <c r="E428" s="280"/>
      <c r="F428" s="287"/>
      <c r="G428" s="283"/>
      <c r="H428" s="283"/>
      <c r="I428" s="283"/>
      <c r="J428" s="283"/>
      <c r="K428" s="289"/>
      <c r="L428" s="267"/>
      <c r="P428" s="350"/>
    </row>
    <row r="429" spans="2:16" ht="11.25">
      <c r="B429" s="264"/>
      <c r="C429" s="281"/>
      <c r="D429" s="288"/>
      <c r="E429" s="280"/>
      <c r="F429" s="283"/>
      <c r="G429" s="283"/>
      <c r="H429" s="283"/>
      <c r="I429" s="283"/>
      <c r="J429" s="283"/>
      <c r="K429" s="289"/>
      <c r="L429" s="267"/>
    </row>
    <row r="430" spans="2:16" ht="11.25">
      <c r="B430" s="264"/>
      <c r="C430" s="251"/>
      <c r="D430" s="290"/>
      <c r="E430" s="291"/>
      <c r="F430" s="292"/>
      <c r="G430" s="292"/>
      <c r="H430" s="292"/>
      <c r="I430" s="292"/>
      <c r="J430" s="292"/>
      <c r="K430" s="293"/>
      <c r="L430" s="267"/>
    </row>
    <row r="431" spans="2:16" ht="11.25">
      <c r="B431" s="264"/>
      <c r="C431" s="281"/>
      <c r="D431" s="294" t="s">
        <v>67</v>
      </c>
      <c r="E431" s="295"/>
      <c r="F431" s="296"/>
      <c r="G431" s="297"/>
      <c r="H431" s="283">
        <f>ROUND(SUM(H375:H430),2)</f>
        <v>45.63</v>
      </c>
      <c r="I431" s="283">
        <f>ROUND(SUM(I375:I430),2)</f>
        <v>0</v>
      </c>
      <c r="J431" s="283">
        <f>ROUND(SUM(J375:J430),2)</f>
        <v>21.89</v>
      </c>
      <c r="K431" s="283">
        <f>SUM(H431:J431)</f>
        <v>67.52</v>
      </c>
      <c r="L431" s="267"/>
    </row>
    <row r="432" spans="2:16" ht="11.25">
      <c r="B432" s="264"/>
      <c r="C432" s="281"/>
      <c r="D432" s="288" t="s">
        <v>68</v>
      </c>
      <c r="E432" s="280" t="s">
        <v>69</v>
      </c>
      <c r="F432" s="283">
        <v>0</v>
      </c>
      <c r="G432" s="283">
        <f>J431</f>
        <v>21.89</v>
      </c>
      <c r="H432" s="351"/>
      <c r="I432" s="297"/>
      <c r="J432" s="283">
        <f>ROUND(F432*G432/100,2)</f>
        <v>0</v>
      </c>
      <c r="K432" s="283"/>
      <c r="L432" s="267"/>
    </row>
    <row r="433" spans="2:16" ht="11.25">
      <c r="B433" s="264"/>
      <c r="C433" s="281"/>
      <c r="D433" s="288" t="s">
        <v>70</v>
      </c>
      <c r="E433" s="280" t="s">
        <v>69</v>
      </c>
      <c r="F433" s="283">
        <v>0</v>
      </c>
      <c r="G433" s="283">
        <f>I431</f>
        <v>0</v>
      </c>
      <c r="H433" s="283"/>
      <c r="I433" s="283">
        <f>ROUND(F433*G433/100,2)</f>
        <v>0</v>
      </c>
      <c r="J433" s="351"/>
      <c r="K433" s="297"/>
      <c r="L433" s="267"/>
    </row>
    <row r="434" spans="2:16" ht="11.25">
      <c r="B434" s="264"/>
      <c r="C434" s="281"/>
      <c r="D434" s="288" t="s">
        <v>71</v>
      </c>
      <c r="E434" s="280" t="s">
        <v>69</v>
      </c>
      <c r="F434" s="283">
        <v>0</v>
      </c>
      <c r="G434" s="283">
        <f>H431</f>
        <v>45.63</v>
      </c>
      <c r="H434" s="283">
        <f>ROUND(F434/100*G434,2)</f>
        <v>0</v>
      </c>
      <c r="I434" s="351"/>
      <c r="J434" s="296"/>
      <c r="K434" s="297"/>
      <c r="L434" s="267"/>
    </row>
    <row r="435" spans="2:16" ht="11.25">
      <c r="B435" s="264"/>
      <c r="C435" s="281"/>
      <c r="D435" s="294" t="s">
        <v>72</v>
      </c>
      <c r="E435" s="295"/>
      <c r="F435" s="296"/>
      <c r="G435" s="297"/>
      <c r="H435" s="283">
        <f>SUM(H431,H434)</f>
        <v>45.63</v>
      </c>
      <c r="I435" s="283">
        <f>SUM(I431,I433)</f>
        <v>0</v>
      </c>
      <c r="J435" s="283">
        <f>SUM(J431:J432)</f>
        <v>21.89</v>
      </c>
      <c r="K435" s="283">
        <f>SUM(H435:J435)</f>
        <v>67.52</v>
      </c>
      <c r="L435" s="267"/>
    </row>
    <row r="436" spans="2:16" ht="18">
      <c r="B436" s="264"/>
      <c r="C436" s="281"/>
      <c r="D436" s="288" t="s">
        <v>73</v>
      </c>
      <c r="E436" s="280" t="s">
        <v>69</v>
      </c>
      <c r="F436" s="283"/>
      <c r="G436" s="283">
        <f>SUM(K435)</f>
        <v>67.52</v>
      </c>
      <c r="H436" s="351"/>
      <c r="I436" s="296"/>
      <c r="J436" s="297"/>
      <c r="K436" s="283">
        <f>ROUND(F436*G436/100,2)</f>
        <v>0</v>
      </c>
      <c r="L436" s="267"/>
      <c r="M436" s="303"/>
    </row>
    <row r="437" spans="2:16" ht="11.25">
      <c r="B437" s="264"/>
      <c r="C437" s="281"/>
      <c r="D437" s="294" t="s">
        <v>74</v>
      </c>
      <c r="E437" s="304"/>
      <c r="F437" s="304"/>
      <c r="G437" s="304"/>
      <c r="H437" s="304"/>
      <c r="I437" s="304"/>
      <c r="J437" s="305"/>
      <c r="K437" s="283">
        <f>SUM(K435:K436)</f>
        <v>67.52</v>
      </c>
      <c r="L437" s="267"/>
    </row>
    <row r="438" spans="2:16" ht="11.25">
      <c r="B438" s="264"/>
      <c r="C438" s="281"/>
      <c r="D438" s="294" t="s">
        <v>75</v>
      </c>
      <c r="E438" s="305"/>
      <c r="F438" s="283">
        <v>1</v>
      </c>
      <c r="G438" s="283">
        <f>K437</f>
        <v>67.52</v>
      </c>
      <c r="H438" s="351"/>
      <c r="I438" s="296"/>
      <c r="J438" s="297"/>
      <c r="K438" s="283">
        <f>ROUND(G438/F438,2)</f>
        <v>67.52</v>
      </c>
      <c r="L438" s="267"/>
    </row>
    <row r="439" spans="2:16" ht="11.25">
      <c r="B439" s="264"/>
      <c r="C439" s="281"/>
      <c r="D439" s="306" t="s">
        <v>76</v>
      </c>
      <c r="E439" s="307"/>
      <c r="F439" s="307"/>
      <c r="G439" s="307"/>
      <c r="H439" s="307"/>
      <c r="I439" s="307"/>
      <c r="J439" s="308"/>
      <c r="K439" s="309">
        <f>K438</f>
        <v>67.52</v>
      </c>
      <c r="L439" s="267"/>
      <c r="N439" s="310"/>
      <c r="O439" s="310"/>
      <c r="P439" s="310"/>
    </row>
    <row r="440" spans="2:16" ht="11.25">
      <c r="B440" s="270"/>
      <c r="C440" s="311"/>
      <c r="D440" s="312"/>
      <c r="E440" s="312"/>
      <c r="F440" s="312"/>
      <c r="G440" s="312"/>
      <c r="H440" s="312"/>
      <c r="I440" s="312"/>
      <c r="J440" s="312"/>
      <c r="K440" s="312"/>
      <c r="L440" s="273"/>
    </row>
    <row r="441" spans="2:16" ht="11.25">
      <c r="C441" s="251"/>
      <c r="D441" s="252"/>
      <c r="E441" s="252"/>
      <c r="F441" s="252"/>
      <c r="G441" s="252"/>
      <c r="H441" s="252"/>
      <c r="I441" s="252"/>
      <c r="J441" s="252"/>
      <c r="K441" s="252"/>
      <c r="N441" s="253"/>
      <c r="O441" s="253"/>
      <c r="P441" s="253"/>
    </row>
    <row r="442" spans="2:16" ht="11.25">
      <c r="B442" s="260"/>
      <c r="C442" s="313"/>
      <c r="D442" s="265"/>
      <c r="E442" s="265"/>
      <c r="F442" s="265"/>
      <c r="G442" s="265"/>
      <c r="H442" s="265"/>
      <c r="I442" s="265"/>
      <c r="J442" s="265"/>
      <c r="K442" s="265"/>
      <c r="L442" s="263"/>
    </row>
    <row r="443" spans="2:16" ht="11.25">
      <c r="B443" s="264"/>
      <c r="C443" s="314" t="s">
        <v>56</v>
      </c>
      <c r="D443" s="315" t="s">
        <v>77</v>
      </c>
      <c r="E443" s="265"/>
      <c r="F443" s="265"/>
      <c r="G443" s="265"/>
      <c r="H443" s="265"/>
      <c r="I443" s="265"/>
      <c r="J443" s="265"/>
      <c r="K443" s="316"/>
      <c r="L443" s="267"/>
    </row>
    <row r="444" spans="2:16" ht="11.25">
      <c r="B444" s="264"/>
      <c r="C444" s="317"/>
      <c r="D444" s="491"/>
      <c r="E444" s="491"/>
      <c r="F444" s="491"/>
      <c r="G444" s="491"/>
      <c r="H444" s="491"/>
      <c r="I444" s="491"/>
      <c r="J444" s="491"/>
      <c r="K444" s="492"/>
      <c r="L444" s="267"/>
    </row>
    <row r="445" spans="2:16" ht="11.25">
      <c r="B445" s="264"/>
      <c r="C445" s="317"/>
      <c r="D445" s="491"/>
      <c r="E445" s="491"/>
      <c r="F445" s="491"/>
      <c r="G445" s="491"/>
      <c r="H445" s="491"/>
      <c r="I445" s="491"/>
      <c r="J445" s="491"/>
      <c r="K445" s="492"/>
      <c r="L445" s="267"/>
    </row>
    <row r="446" spans="2:16" ht="11.25">
      <c r="B446" s="264"/>
      <c r="C446" s="318"/>
      <c r="D446" s="493"/>
      <c r="E446" s="493"/>
      <c r="F446" s="493"/>
      <c r="G446" s="493"/>
      <c r="H446" s="493"/>
      <c r="I446" s="493"/>
      <c r="J446" s="493"/>
      <c r="K446" s="494"/>
      <c r="L446" s="267"/>
    </row>
    <row r="447" spans="2:16" ht="11.25">
      <c r="B447" s="264"/>
      <c r="C447" s="319"/>
      <c r="D447" s="290"/>
      <c r="E447" s="252"/>
      <c r="F447" s="252"/>
      <c r="G447" s="252"/>
      <c r="H447" s="252"/>
      <c r="I447" s="252"/>
      <c r="J447" s="252"/>
      <c r="K447" s="252"/>
      <c r="L447" s="267"/>
    </row>
    <row r="448" spans="2:16" ht="11.25">
      <c r="B448" s="264"/>
      <c r="C448" s="314" t="s">
        <v>60</v>
      </c>
      <c r="D448" s="315" t="s">
        <v>78</v>
      </c>
      <c r="E448" s="265"/>
      <c r="F448" s="265"/>
      <c r="G448" s="265"/>
      <c r="H448" s="265"/>
      <c r="I448" s="265"/>
      <c r="J448" s="265"/>
      <c r="K448" s="316"/>
      <c r="L448" s="267"/>
    </row>
    <row r="449" spans="2:16" ht="11.25">
      <c r="B449" s="264"/>
      <c r="C449" s="318"/>
      <c r="D449" s="320"/>
      <c r="E449" s="312"/>
      <c r="F449" s="312"/>
      <c r="G449" s="312"/>
      <c r="H449" s="312"/>
      <c r="I449" s="312"/>
      <c r="J449" s="312"/>
      <c r="K449" s="321"/>
      <c r="L449" s="267"/>
    </row>
    <row r="450" spans="2:16" s="451" customFormat="1">
      <c r="C450" s="452"/>
    </row>
    <row r="451" spans="2:16" s="451" customFormat="1" ht="35.1" customHeight="1">
      <c r="B451" s="453"/>
      <c r="C451" s="503" t="s">
        <v>39</v>
      </c>
      <c r="D451" s="504"/>
      <c r="E451" s="504"/>
      <c r="F451" s="504"/>
      <c r="G451" s="504"/>
      <c r="H451" s="504"/>
      <c r="I451" s="504"/>
      <c r="J451" s="504"/>
      <c r="K451" s="505"/>
      <c r="L451" s="454"/>
    </row>
    <row r="452" spans="2:16" s="451" customFormat="1" ht="5.0999999999999996" customHeight="1">
      <c r="B452" s="455"/>
      <c r="C452" s="456"/>
      <c r="D452" s="456"/>
      <c r="E452" s="456"/>
      <c r="F452" s="456"/>
      <c r="G452" s="456"/>
      <c r="H452" s="456"/>
      <c r="I452" s="456"/>
      <c r="J452" s="456"/>
      <c r="K452" s="456"/>
      <c r="L452" s="457"/>
    </row>
    <row r="453" spans="2:16" s="451" customFormat="1" ht="9.9499999999999993" customHeight="1">
      <c r="B453" s="458"/>
      <c r="C453" s="458"/>
      <c r="D453" s="458"/>
      <c r="E453" s="458"/>
      <c r="F453" s="458"/>
      <c r="G453" s="458"/>
      <c r="H453" s="458"/>
      <c r="I453" s="458"/>
      <c r="J453" s="458"/>
      <c r="K453" s="458"/>
      <c r="L453" s="458"/>
    </row>
    <row r="454" spans="2:16" s="451" customFormat="1" ht="5.0999999999999996" customHeight="1">
      <c r="B454" s="459"/>
      <c r="C454" s="460"/>
      <c r="D454" s="461"/>
      <c r="E454" s="461"/>
      <c r="F454" s="461"/>
      <c r="G454" s="461"/>
      <c r="H454" s="461"/>
      <c r="I454" s="461"/>
      <c r="J454" s="461"/>
      <c r="K454" s="461"/>
      <c r="L454" s="462"/>
    </row>
    <row r="455" spans="2:16" ht="15" customHeight="1">
      <c r="B455" s="264"/>
      <c r="C455" s="495" t="s">
        <v>40</v>
      </c>
      <c r="D455" s="496"/>
      <c r="E455" s="265"/>
      <c r="F455" s="265"/>
      <c r="G455" s="265"/>
      <c r="H455" s="266" t="s">
        <v>41</v>
      </c>
      <c r="I455" s="266" t="s">
        <v>42</v>
      </c>
      <c r="J455" s="266" t="s">
        <v>43</v>
      </c>
      <c r="K455" s="266" t="s">
        <v>44</v>
      </c>
      <c r="L455" s="267"/>
    </row>
    <row r="456" spans="2:16" ht="35.1" customHeight="1">
      <c r="B456" s="264"/>
      <c r="C456" s="497" t="s">
        <v>515</v>
      </c>
      <c r="D456" s="498"/>
      <c r="E456" s="498"/>
      <c r="F456" s="498"/>
      <c r="G456" s="499"/>
      <c r="H456" s="348" t="s">
        <v>517</v>
      </c>
      <c r="I456" s="268" t="s">
        <v>405</v>
      </c>
      <c r="J456" s="269" t="s">
        <v>194</v>
      </c>
      <c r="K456" s="269" t="s">
        <v>511</v>
      </c>
      <c r="L456" s="267"/>
    </row>
    <row r="457" spans="2:16" ht="5.0999999999999996" customHeight="1">
      <c r="B457" s="270"/>
      <c r="C457" s="271"/>
      <c r="D457" s="271"/>
      <c r="E457" s="271"/>
      <c r="F457" s="271"/>
      <c r="G457" s="271"/>
      <c r="H457" s="271"/>
      <c r="I457" s="271"/>
      <c r="J457" s="272"/>
      <c r="K457" s="272"/>
      <c r="L457" s="273"/>
    </row>
    <row r="458" spans="2:16" ht="9.9499999999999993" customHeight="1">
      <c r="B458" s="274"/>
      <c r="C458" s="275"/>
      <c r="D458" s="275"/>
      <c r="E458" s="275"/>
      <c r="F458" s="275"/>
      <c r="G458" s="275"/>
      <c r="H458" s="275"/>
      <c r="I458" s="275"/>
      <c r="J458" s="276"/>
      <c r="K458" s="276"/>
      <c r="L458" s="274"/>
    </row>
    <row r="459" spans="2:16" ht="5.0999999999999996" customHeight="1">
      <c r="B459" s="260"/>
      <c r="C459" s="261"/>
      <c r="D459" s="262"/>
      <c r="E459" s="262"/>
      <c r="F459" s="262"/>
      <c r="G459" s="262"/>
      <c r="H459" s="262"/>
      <c r="I459" s="262"/>
      <c r="J459" s="262"/>
      <c r="K459" s="262"/>
      <c r="L459" s="263"/>
    </row>
    <row r="460" spans="2:16" s="279" customFormat="1" ht="21.95" customHeight="1">
      <c r="B460" s="277"/>
      <c r="C460" s="500" t="s">
        <v>46</v>
      </c>
      <c r="D460" s="490" t="s">
        <v>47</v>
      </c>
      <c r="E460" s="490" t="s">
        <v>48</v>
      </c>
      <c r="F460" s="490" t="s">
        <v>49</v>
      </c>
      <c r="G460" s="490" t="s">
        <v>50</v>
      </c>
      <c r="H460" s="490" t="s">
        <v>51</v>
      </c>
      <c r="I460" s="490"/>
      <c r="J460" s="490"/>
      <c r="K460" s="490" t="s">
        <v>52</v>
      </c>
      <c r="L460" s="278"/>
    </row>
    <row r="461" spans="2:16" s="279" customFormat="1" ht="21.95" customHeight="1">
      <c r="B461" s="277"/>
      <c r="C461" s="500"/>
      <c r="D461" s="490"/>
      <c r="E461" s="490"/>
      <c r="F461" s="490"/>
      <c r="G461" s="490"/>
      <c r="H461" s="280" t="s">
        <v>53</v>
      </c>
      <c r="I461" s="280" t="s">
        <v>54</v>
      </c>
      <c r="J461" s="280" t="s">
        <v>55</v>
      </c>
      <c r="K461" s="490"/>
      <c r="L461" s="278"/>
    </row>
    <row r="462" spans="2:16" ht="5.0999999999999996" customHeight="1">
      <c r="B462" s="264"/>
      <c r="C462" s="251"/>
      <c r="D462" s="252"/>
      <c r="E462" s="252"/>
      <c r="F462" s="252"/>
      <c r="G462" s="252"/>
      <c r="H462" s="252"/>
      <c r="I462" s="252"/>
      <c r="J462" s="252"/>
      <c r="K462" s="252"/>
      <c r="L462" s="267"/>
    </row>
    <row r="463" spans="2:16" ht="16.5" hidden="1" customHeight="1">
      <c r="B463" s="264"/>
      <c r="C463" s="281" t="s">
        <v>56</v>
      </c>
      <c r="D463" s="282" t="s">
        <v>57</v>
      </c>
      <c r="E463" s="280" t="s">
        <v>58</v>
      </c>
      <c r="F463" s="283">
        <v>0</v>
      </c>
      <c r="G463" s="283">
        <v>52.5</v>
      </c>
      <c r="H463" s="283">
        <f>F463*G463</f>
        <v>0</v>
      </c>
      <c r="I463" s="283"/>
      <c r="J463" s="283"/>
      <c r="K463" s="284" t="s">
        <v>59</v>
      </c>
      <c r="L463" s="267"/>
      <c r="N463" s="285"/>
      <c r="O463" s="286"/>
      <c r="P463" s="285"/>
    </row>
    <row r="464" spans="2:16" ht="33.75">
      <c r="B464" s="264"/>
      <c r="C464" s="281" t="s">
        <v>56</v>
      </c>
      <c r="D464" s="282" t="s">
        <v>492</v>
      </c>
      <c r="E464" s="463" t="s">
        <v>85</v>
      </c>
      <c r="F464" s="287">
        <v>3.3279999999999998</v>
      </c>
      <c r="G464" s="283">
        <v>43.33</v>
      </c>
      <c r="H464" s="283">
        <f>ROUND(F464*G464,2)</f>
        <v>144.19999999999999</v>
      </c>
      <c r="I464" s="283"/>
      <c r="J464" s="283"/>
      <c r="K464" s="284" t="s">
        <v>493</v>
      </c>
      <c r="L464" s="267"/>
      <c r="N464" s="285"/>
      <c r="P464" s="286"/>
    </row>
    <row r="465" spans="2:16" ht="22.5">
      <c r="B465" s="264"/>
      <c r="C465" s="281" t="s">
        <v>61</v>
      </c>
      <c r="D465" s="282" t="s">
        <v>494</v>
      </c>
      <c r="E465" s="463" t="s">
        <v>58</v>
      </c>
      <c r="F465" s="287">
        <v>0.69099999999999995</v>
      </c>
      <c r="G465" s="283">
        <v>248.23</v>
      </c>
      <c r="H465" s="283">
        <f t="shared" ref="H465:H469" si="0">ROUND(F465*G465,2)</f>
        <v>171.53</v>
      </c>
      <c r="I465" s="283"/>
      <c r="J465" s="283"/>
      <c r="K465" s="284" t="s">
        <v>495</v>
      </c>
      <c r="L465" s="267"/>
      <c r="N465" s="285"/>
      <c r="O465" s="286"/>
      <c r="P465" s="285"/>
    </row>
    <row r="466" spans="2:16" ht="22.5">
      <c r="B466" s="264"/>
      <c r="C466" s="281" t="s">
        <v>62</v>
      </c>
      <c r="D466" s="282" t="s">
        <v>496</v>
      </c>
      <c r="E466" s="464" t="s">
        <v>497</v>
      </c>
      <c r="F466" s="287">
        <v>8</v>
      </c>
      <c r="G466" s="283">
        <f>K601</f>
        <v>8.5500000000000007</v>
      </c>
      <c r="H466" s="283">
        <f t="shared" si="0"/>
        <v>68.400000000000006</v>
      </c>
      <c r="I466" s="283"/>
      <c r="J466" s="283"/>
      <c r="K466" s="284" t="s">
        <v>513</v>
      </c>
      <c r="L466" s="267"/>
      <c r="N466" s="285"/>
      <c r="O466" s="286"/>
      <c r="P466" s="285"/>
    </row>
    <row r="467" spans="2:16" ht="24.75" customHeight="1">
      <c r="B467" s="264"/>
      <c r="C467" s="281" t="s">
        <v>63</v>
      </c>
      <c r="D467" s="282" t="s">
        <v>498</v>
      </c>
      <c r="E467" s="142" t="s">
        <v>85</v>
      </c>
      <c r="F467" s="283">
        <v>6.72</v>
      </c>
      <c r="G467" s="283">
        <v>90.6</v>
      </c>
      <c r="H467" s="283">
        <f t="shared" si="0"/>
        <v>608.83000000000004</v>
      </c>
      <c r="I467" s="283"/>
      <c r="J467" s="283"/>
      <c r="K467" s="284" t="s">
        <v>499</v>
      </c>
      <c r="L467" s="267"/>
      <c r="N467" s="285"/>
      <c r="O467" s="286"/>
      <c r="P467" s="285"/>
    </row>
    <row r="468" spans="2:16" ht="33.75">
      <c r="B468" s="264"/>
      <c r="C468" s="281" t="s">
        <v>500</v>
      </c>
      <c r="D468" s="282" t="s">
        <v>501</v>
      </c>
      <c r="E468" s="142" t="s">
        <v>85</v>
      </c>
      <c r="F468" s="283">
        <v>8</v>
      </c>
      <c r="G468" s="283">
        <v>20.99</v>
      </c>
      <c r="H468" s="283">
        <f t="shared" si="0"/>
        <v>167.92</v>
      </c>
      <c r="I468" s="283"/>
      <c r="J468" s="283"/>
      <c r="K468" s="284">
        <v>87792</v>
      </c>
      <c r="L468" s="267"/>
      <c r="N468" s="285"/>
      <c r="O468" s="286"/>
      <c r="P468" s="285"/>
    </row>
    <row r="469" spans="2:16" ht="33.75">
      <c r="B469" s="264"/>
      <c r="C469" s="281" t="s">
        <v>502</v>
      </c>
      <c r="D469" s="282" t="s">
        <v>325</v>
      </c>
      <c r="E469" s="280" t="s">
        <v>102</v>
      </c>
      <c r="F469" s="283">
        <v>1</v>
      </c>
      <c r="G469" s="283">
        <v>438.64</v>
      </c>
      <c r="H469" s="283">
        <f t="shared" si="0"/>
        <v>438.64</v>
      </c>
      <c r="I469" s="283"/>
      <c r="J469" s="283"/>
      <c r="K469" s="284">
        <v>83627</v>
      </c>
      <c r="L469" s="267"/>
      <c r="N469" s="285"/>
      <c r="O469" s="286"/>
      <c r="P469" s="285"/>
    </row>
    <row r="470" spans="2:16" ht="11.25">
      <c r="B470" s="264"/>
      <c r="C470" s="281"/>
      <c r="D470" s="288"/>
      <c r="E470" s="280"/>
      <c r="F470" s="287"/>
      <c r="G470" s="283"/>
      <c r="H470" s="283"/>
      <c r="I470" s="283"/>
      <c r="J470" s="283"/>
      <c r="K470" s="289"/>
      <c r="L470" s="267"/>
      <c r="N470" s="285"/>
      <c r="O470" s="285"/>
      <c r="P470" s="285"/>
    </row>
    <row r="471" spans="2:16" ht="11.25">
      <c r="B471" s="264"/>
      <c r="C471" s="281"/>
      <c r="D471" s="288"/>
      <c r="E471" s="280"/>
      <c r="F471" s="287"/>
      <c r="G471" s="283"/>
      <c r="H471" s="283"/>
      <c r="I471" s="283"/>
      <c r="J471" s="283"/>
      <c r="K471" s="289"/>
      <c r="L471" s="267"/>
      <c r="N471" s="285"/>
      <c r="O471" s="285"/>
      <c r="P471" s="285"/>
    </row>
    <row r="472" spans="2:16" ht="11.25">
      <c r="B472" s="264"/>
      <c r="C472" s="281"/>
      <c r="D472" s="288"/>
      <c r="E472" s="280"/>
      <c r="F472" s="287"/>
      <c r="G472" s="283"/>
      <c r="H472" s="283"/>
      <c r="I472" s="283"/>
      <c r="J472" s="283"/>
      <c r="K472" s="289"/>
      <c r="L472" s="267"/>
      <c r="N472" s="285"/>
      <c r="O472" s="285"/>
      <c r="P472" s="285"/>
    </row>
    <row r="473" spans="2:16" ht="11.25">
      <c r="B473" s="264"/>
      <c r="C473" s="281"/>
      <c r="D473" s="288"/>
      <c r="E473" s="280"/>
      <c r="F473" s="287"/>
      <c r="G473" s="283"/>
      <c r="H473" s="283"/>
      <c r="I473" s="283"/>
      <c r="J473" s="283"/>
      <c r="K473" s="289"/>
      <c r="L473" s="267"/>
      <c r="N473" s="285"/>
      <c r="O473" s="285"/>
      <c r="P473" s="285"/>
    </row>
    <row r="474" spans="2:16" ht="11.25">
      <c r="B474" s="264"/>
      <c r="C474" s="281"/>
      <c r="D474" s="288"/>
      <c r="E474" s="280"/>
      <c r="F474" s="287"/>
      <c r="G474" s="283"/>
      <c r="H474" s="283"/>
      <c r="I474" s="283"/>
      <c r="J474" s="283"/>
      <c r="K474" s="284"/>
      <c r="L474" s="267"/>
      <c r="N474" s="285"/>
      <c r="O474" s="285"/>
      <c r="P474" s="285"/>
    </row>
    <row r="475" spans="2:16" ht="11.25">
      <c r="B475" s="264"/>
      <c r="C475" s="281"/>
      <c r="D475" s="288"/>
      <c r="E475" s="280"/>
      <c r="F475" s="287"/>
      <c r="G475" s="283"/>
      <c r="H475" s="283"/>
      <c r="I475" s="283"/>
      <c r="J475" s="283"/>
      <c r="K475" s="284"/>
      <c r="L475" s="267"/>
      <c r="N475" s="285"/>
      <c r="O475" s="285"/>
      <c r="P475" s="285"/>
    </row>
    <row r="476" spans="2:16" ht="11.25">
      <c r="B476" s="264"/>
      <c r="C476" s="281"/>
      <c r="D476" s="288"/>
      <c r="E476" s="280"/>
      <c r="F476" s="287"/>
      <c r="G476" s="283"/>
      <c r="H476" s="283"/>
      <c r="I476" s="283"/>
      <c r="J476" s="283"/>
      <c r="K476" s="284"/>
      <c r="L476" s="267"/>
      <c r="N476" s="285"/>
      <c r="O476" s="285"/>
      <c r="P476" s="285"/>
    </row>
    <row r="477" spans="2:16" ht="11.25">
      <c r="B477" s="264"/>
      <c r="C477" s="281"/>
      <c r="D477" s="282"/>
      <c r="E477" s="142"/>
      <c r="F477" s="283"/>
      <c r="G477" s="283"/>
      <c r="H477" s="283"/>
      <c r="I477" s="283"/>
      <c r="J477" s="283"/>
      <c r="K477" s="284"/>
      <c r="L477" s="267"/>
      <c r="N477" s="285"/>
      <c r="O477" s="286"/>
      <c r="P477" s="285"/>
    </row>
    <row r="478" spans="2:16" ht="11.25">
      <c r="B478" s="264"/>
      <c r="C478" s="281"/>
      <c r="D478" s="282"/>
      <c r="E478" s="280"/>
      <c r="F478" s="283"/>
      <c r="G478" s="283"/>
      <c r="H478" s="283"/>
      <c r="I478" s="283"/>
      <c r="J478" s="283"/>
      <c r="K478" s="284"/>
      <c r="L478" s="267"/>
      <c r="N478" s="285"/>
      <c r="O478" s="286"/>
      <c r="P478" s="285"/>
    </row>
    <row r="479" spans="2:16" ht="11.25">
      <c r="B479" s="264"/>
      <c r="C479" s="281"/>
      <c r="D479" s="288"/>
      <c r="E479" s="280"/>
      <c r="F479" s="287"/>
      <c r="G479" s="283"/>
      <c r="H479" s="283"/>
      <c r="I479" s="283"/>
      <c r="J479" s="283"/>
      <c r="K479" s="289"/>
      <c r="L479" s="267"/>
      <c r="N479" s="285"/>
      <c r="O479" s="285"/>
      <c r="P479" s="285"/>
    </row>
    <row r="480" spans="2:16" ht="11.25">
      <c r="B480" s="264"/>
      <c r="C480" s="281"/>
      <c r="D480" s="288"/>
      <c r="E480" s="280"/>
      <c r="F480" s="287"/>
      <c r="G480" s="283"/>
      <c r="H480" s="283"/>
      <c r="I480" s="283"/>
      <c r="J480" s="283"/>
      <c r="K480" s="289"/>
      <c r="L480" s="267"/>
      <c r="N480" s="285"/>
      <c r="O480" s="285"/>
      <c r="P480" s="285"/>
    </row>
    <row r="481" spans="2:16" ht="11.25">
      <c r="B481" s="264"/>
      <c r="C481" s="281"/>
      <c r="D481" s="288"/>
      <c r="E481" s="280"/>
      <c r="F481" s="287"/>
      <c r="G481" s="283"/>
      <c r="H481" s="283"/>
      <c r="I481" s="283"/>
      <c r="J481" s="283"/>
      <c r="K481" s="289"/>
      <c r="L481" s="267"/>
      <c r="N481" s="285"/>
      <c r="O481" s="285"/>
      <c r="P481" s="285"/>
    </row>
    <row r="482" spans="2:16" ht="11.25">
      <c r="B482" s="264"/>
      <c r="C482" s="281"/>
      <c r="D482" s="288"/>
      <c r="E482" s="280"/>
      <c r="F482" s="287"/>
      <c r="G482" s="283"/>
      <c r="H482" s="283"/>
      <c r="I482" s="283"/>
      <c r="J482" s="283"/>
      <c r="K482" s="289"/>
      <c r="L482" s="267"/>
      <c r="N482" s="285"/>
      <c r="O482" s="285"/>
      <c r="P482" s="285"/>
    </row>
    <row r="483" spans="2:16" ht="11.25">
      <c r="B483" s="264"/>
      <c r="C483" s="281"/>
      <c r="D483" s="288"/>
      <c r="E483" s="280"/>
      <c r="F483" s="287"/>
      <c r="G483" s="283"/>
      <c r="H483" s="283"/>
      <c r="I483" s="283"/>
      <c r="J483" s="283"/>
      <c r="K483" s="289"/>
      <c r="L483" s="267"/>
      <c r="N483" s="285"/>
      <c r="O483" s="285"/>
      <c r="P483" s="285"/>
    </row>
    <row r="484" spans="2:16" ht="11.25">
      <c r="B484" s="264"/>
      <c r="C484" s="281"/>
      <c r="D484" s="288"/>
      <c r="E484" s="280"/>
      <c r="F484" s="287"/>
      <c r="G484" s="283"/>
      <c r="H484" s="283"/>
      <c r="I484" s="283"/>
      <c r="J484" s="283"/>
      <c r="K484" s="289"/>
      <c r="L484" s="267"/>
    </row>
    <row r="485" spans="2:16" ht="11.25">
      <c r="B485" s="264"/>
      <c r="C485" s="281"/>
      <c r="D485" s="288"/>
      <c r="E485" s="280"/>
      <c r="F485" s="283"/>
      <c r="G485" s="283"/>
      <c r="H485" s="283"/>
      <c r="I485" s="283"/>
      <c r="J485" s="283"/>
      <c r="K485" s="289"/>
      <c r="L485" s="267"/>
    </row>
    <row r="486" spans="2:16" ht="11.25">
      <c r="B486" s="264"/>
      <c r="C486" s="281"/>
      <c r="D486" s="288"/>
      <c r="E486" s="280"/>
      <c r="F486" s="287"/>
      <c r="G486" s="283"/>
      <c r="H486" s="283"/>
      <c r="I486" s="283"/>
      <c r="J486" s="283"/>
      <c r="K486" s="284"/>
      <c r="L486" s="267"/>
      <c r="N486" s="285"/>
      <c r="O486" s="285"/>
      <c r="P486" s="285"/>
    </row>
    <row r="487" spans="2:16" ht="11.25">
      <c r="B487" s="264"/>
      <c r="C487" s="281"/>
      <c r="D487" s="288"/>
      <c r="E487" s="280"/>
      <c r="F487" s="287"/>
      <c r="G487" s="283"/>
      <c r="H487" s="283"/>
      <c r="I487" s="283"/>
      <c r="J487" s="283"/>
      <c r="K487" s="284"/>
      <c r="L487" s="267"/>
      <c r="N487" s="285"/>
      <c r="O487" s="285"/>
      <c r="P487" s="285"/>
    </row>
    <row r="488" spans="2:16" ht="11.25">
      <c r="B488" s="264"/>
      <c r="C488" s="281"/>
      <c r="D488" s="288"/>
      <c r="E488" s="280"/>
      <c r="F488" s="287"/>
      <c r="G488" s="283"/>
      <c r="H488" s="283"/>
      <c r="I488" s="283"/>
      <c r="J488" s="283"/>
      <c r="K488" s="284"/>
      <c r="L488" s="267"/>
      <c r="N488" s="285"/>
      <c r="O488" s="285"/>
      <c r="P488" s="285"/>
    </row>
    <row r="489" spans="2:16" ht="11.25">
      <c r="B489" s="264"/>
      <c r="C489" s="281"/>
      <c r="D489" s="288"/>
      <c r="E489" s="280"/>
      <c r="F489" s="287"/>
      <c r="G489" s="283"/>
      <c r="H489" s="283"/>
      <c r="I489" s="283"/>
      <c r="J489" s="283"/>
      <c r="K489" s="284"/>
      <c r="L489" s="267"/>
      <c r="N489" s="285"/>
      <c r="O489" s="285"/>
      <c r="P489" s="285"/>
    </row>
    <row r="490" spans="2:16" ht="11.25">
      <c r="B490" s="264"/>
      <c r="C490" s="281"/>
      <c r="D490" s="288"/>
      <c r="E490" s="280"/>
      <c r="F490" s="287"/>
      <c r="G490" s="283"/>
      <c r="H490" s="283"/>
      <c r="I490" s="283"/>
      <c r="J490" s="283"/>
      <c r="K490" s="289"/>
      <c r="L490" s="267"/>
      <c r="N490" s="285"/>
      <c r="O490" s="285"/>
      <c r="P490" s="285"/>
    </row>
    <row r="491" spans="2:16" ht="11.25">
      <c r="B491" s="264"/>
      <c r="C491" s="281"/>
      <c r="D491" s="288"/>
      <c r="E491" s="280"/>
      <c r="F491" s="287"/>
      <c r="G491" s="283"/>
      <c r="H491" s="283"/>
      <c r="I491" s="283"/>
      <c r="J491" s="283"/>
      <c r="K491" s="289"/>
      <c r="L491" s="267"/>
      <c r="P491" s="350"/>
    </row>
    <row r="492" spans="2:16" ht="11.25">
      <c r="B492" s="264"/>
      <c r="C492" s="281"/>
      <c r="D492" s="288"/>
      <c r="E492" s="280"/>
      <c r="F492" s="287"/>
      <c r="G492" s="283"/>
      <c r="H492" s="283"/>
      <c r="I492" s="283"/>
      <c r="J492" s="283"/>
      <c r="K492" s="289"/>
      <c r="L492" s="267"/>
      <c r="N492" s="285"/>
      <c r="O492" s="285"/>
      <c r="P492" s="285"/>
    </row>
    <row r="493" spans="2:16" ht="11.25">
      <c r="B493" s="264"/>
      <c r="C493" s="281"/>
      <c r="D493" s="288"/>
      <c r="E493" s="280"/>
      <c r="F493" s="287"/>
      <c r="G493" s="283"/>
      <c r="H493" s="283"/>
      <c r="I493" s="283"/>
      <c r="J493" s="283"/>
      <c r="K493" s="289"/>
      <c r="L493" s="267"/>
    </row>
    <row r="494" spans="2:16" ht="11.25">
      <c r="B494" s="264"/>
      <c r="C494" s="281"/>
      <c r="D494" s="288"/>
      <c r="E494" s="280"/>
      <c r="F494" s="283"/>
      <c r="G494" s="283"/>
      <c r="H494" s="283"/>
      <c r="I494" s="283"/>
      <c r="J494" s="283"/>
      <c r="K494" s="289"/>
      <c r="L494" s="267"/>
    </row>
    <row r="495" spans="2:16" ht="11.25">
      <c r="B495" s="264"/>
      <c r="C495" s="251"/>
      <c r="D495" s="290"/>
      <c r="E495" s="291"/>
      <c r="F495" s="292"/>
      <c r="G495" s="292"/>
      <c r="H495" s="292"/>
      <c r="I495" s="292"/>
      <c r="J495" s="292"/>
      <c r="K495" s="293"/>
      <c r="L495" s="267"/>
    </row>
    <row r="496" spans="2:16" ht="11.25">
      <c r="B496" s="264"/>
      <c r="C496" s="281"/>
      <c r="D496" s="294" t="s">
        <v>67</v>
      </c>
      <c r="E496" s="295"/>
      <c r="F496" s="296"/>
      <c r="G496" s="297"/>
      <c r="H496" s="283">
        <f>ROUND(SUM(H463:H495),2)</f>
        <v>1599.52</v>
      </c>
      <c r="I496" s="283">
        <f>ROUND(SUM(I463:I495),2)</f>
        <v>0</v>
      </c>
      <c r="J496" s="283">
        <f>ROUND(SUM(J463:J495),2)</f>
        <v>0</v>
      </c>
      <c r="K496" s="283">
        <f>SUM(H496:J496)</f>
        <v>1599.52</v>
      </c>
      <c r="L496" s="267"/>
    </row>
    <row r="497" spans="2:16" ht="11.25">
      <c r="B497" s="264"/>
      <c r="C497" s="281"/>
      <c r="D497" s="288" t="s">
        <v>68</v>
      </c>
      <c r="E497" s="280" t="s">
        <v>69</v>
      </c>
      <c r="F497" s="283">
        <v>0</v>
      </c>
      <c r="G497" s="283">
        <f>J496</f>
        <v>0</v>
      </c>
      <c r="H497" s="298"/>
      <c r="I497" s="299"/>
      <c r="J497" s="300">
        <f>ROUND(F497*G497/100,2)</f>
        <v>0</v>
      </c>
      <c r="K497" s="301"/>
      <c r="L497" s="267"/>
    </row>
    <row r="498" spans="2:16" ht="11.25">
      <c r="B498" s="264"/>
      <c r="C498" s="281"/>
      <c r="D498" s="288" t="s">
        <v>70</v>
      </c>
      <c r="E498" s="280" t="s">
        <v>69</v>
      </c>
      <c r="F498" s="283">
        <v>0</v>
      </c>
      <c r="G498" s="283">
        <f>I496</f>
        <v>0</v>
      </c>
      <c r="H498" s="301"/>
      <c r="I498" s="283">
        <f>ROUND(F498*G498/100,2)</f>
        <v>0</v>
      </c>
      <c r="J498" s="298"/>
      <c r="K498" s="299"/>
      <c r="L498" s="267"/>
    </row>
    <row r="499" spans="2:16" ht="11.25">
      <c r="B499" s="264"/>
      <c r="C499" s="281"/>
      <c r="D499" s="288" t="s">
        <v>71</v>
      </c>
      <c r="E499" s="280" t="s">
        <v>69</v>
      </c>
      <c r="F499" s="283">
        <v>0</v>
      </c>
      <c r="G499" s="283">
        <f>H496</f>
        <v>1599.52</v>
      </c>
      <c r="H499" s="283">
        <f>ROUND(F499/100*G499,2)</f>
        <v>0</v>
      </c>
      <c r="I499" s="298"/>
      <c r="J499" s="302"/>
      <c r="K499" s="299"/>
      <c r="L499" s="267"/>
    </row>
    <row r="500" spans="2:16" ht="11.25">
      <c r="B500" s="264"/>
      <c r="C500" s="281"/>
      <c r="D500" s="294" t="s">
        <v>72</v>
      </c>
      <c r="E500" s="295"/>
      <c r="F500" s="296"/>
      <c r="G500" s="297"/>
      <c r="H500" s="283">
        <f>SUM(H496,H499)</f>
        <v>1599.52</v>
      </c>
      <c r="I500" s="283">
        <f>SUM(I496,I498)</f>
        <v>0</v>
      </c>
      <c r="J500" s="283">
        <f>SUM(J496:J497)</f>
        <v>0</v>
      </c>
      <c r="K500" s="283">
        <f>SUM(H500:J500)</f>
        <v>1599.52</v>
      </c>
      <c r="L500" s="267"/>
    </row>
    <row r="501" spans="2:16" ht="18">
      <c r="B501" s="264"/>
      <c r="C501" s="281"/>
      <c r="D501" s="288" t="s">
        <v>73</v>
      </c>
      <c r="E501" s="280" t="s">
        <v>69</v>
      </c>
      <c r="F501" s="283"/>
      <c r="G501" s="283">
        <f>SUM(K500)</f>
        <v>1599.52</v>
      </c>
      <c r="H501" s="298"/>
      <c r="I501" s="302"/>
      <c r="J501" s="299"/>
      <c r="K501" s="283">
        <f>ROUND(F501*G501/100,2)</f>
        <v>0</v>
      </c>
      <c r="L501" s="267"/>
      <c r="M501" s="303"/>
    </row>
    <row r="502" spans="2:16" ht="11.25">
      <c r="B502" s="264"/>
      <c r="C502" s="281"/>
      <c r="D502" s="294" t="s">
        <v>74</v>
      </c>
      <c r="E502" s="304"/>
      <c r="F502" s="304"/>
      <c r="G502" s="304"/>
      <c r="H502" s="304"/>
      <c r="I502" s="304"/>
      <c r="J502" s="305"/>
      <c r="K502" s="283">
        <f>SUM(K500:K501)</f>
        <v>1599.52</v>
      </c>
      <c r="L502" s="267"/>
    </row>
    <row r="503" spans="2:16" ht="11.25">
      <c r="B503" s="264"/>
      <c r="C503" s="281"/>
      <c r="D503" s="294" t="s">
        <v>75</v>
      </c>
      <c r="E503" s="305"/>
      <c r="F503" s="283">
        <v>1</v>
      </c>
      <c r="G503" s="283">
        <f>K502</f>
        <v>1599.52</v>
      </c>
      <c r="H503" s="298"/>
      <c r="I503" s="302"/>
      <c r="J503" s="299"/>
      <c r="K503" s="283">
        <f>ROUND(G503/F503,2)</f>
        <v>1599.52</v>
      </c>
      <c r="L503" s="267"/>
    </row>
    <row r="504" spans="2:16" ht="11.25">
      <c r="B504" s="264"/>
      <c r="C504" s="281"/>
      <c r="D504" s="306" t="s">
        <v>76</v>
      </c>
      <c r="E504" s="307"/>
      <c r="F504" s="307"/>
      <c r="G504" s="307"/>
      <c r="H504" s="307"/>
      <c r="I504" s="307"/>
      <c r="J504" s="308"/>
      <c r="K504" s="309">
        <f>K503</f>
        <v>1599.52</v>
      </c>
      <c r="L504" s="267"/>
      <c r="N504" s="310"/>
      <c r="O504" s="310"/>
      <c r="P504" s="310"/>
    </row>
    <row r="505" spans="2:16" ht="11.25">
      <c r="B505" s="270"/>
      <c r="C505" s="311"/>
      <c r="D505" s="312"/>
      <c r="E505" s="312"/>
      <c r="F505" s="312"/>
      <c r="G505" s="312"/>
      <c r="H505" s="312"/>
      <c r="I505" s="312"/>
      <c r="J505" s="312"/>
      <c r="K505" s="312"/>
      <c r="L505" s="273"/>
    </row>
    <row r="506" spans="2:16" ht="11.25">
      <c r="C506" s="251"/>
      <c r="D506" s="252"/>
      <c r="E506" s="252"/>
      <c r="F506" s="252"/>
      <c r="G506" s="252"/>
      <c r="H506" s="252"/>
      <c r="I506" s="252"/>
      <c r="J506" s="252"/>
      <c r="K506" s="252"/>
      <c r="N506" s="253"/>
      <c r="O506" s="253"/>
      <c r="P506" s="253"/>
    </row>
    <row r="507" spans="2:16" ht="11.25">
      <c r="B507" s="260"/>
      <c r="C507" s="313"/>
      <c r="D507" s="265"/>
      <c r="E507" s="265"/>
      <c r="F507" s="265"/>
      <c r="G507" s="265"/>
      <c r="H507" s="265"/>
      <c r="I507" s="265"/>
      <c r="J507" s="265"/>
      <c r="K507" s="265"/>
      <c r="L507" s="263"/>
    </row>
    <row r="508" spans="2:16" ht="11.25">
      <c r="B508" s="264"/>
      <c r="C508" s="314" t="s">
        <v>56</v>
      </c>
      <c r="D508" s="315" t="s">
        <v>77</v>
      </c>
      <c r="E508" s="265"/>
      <c r="F508" s="265"/>
      <c r="G508" s="265"/>
      <c r="H508" s="265"/>
      <c r="I508" s="265"/>
      <c r="J508" s="265"/>
      <c r="K508" s="316"/>
      <c r="L508" s="267"/>
    </row>
    <row r="509" spans="2:16" ht="11.25">
      <c r="B509" s="264"/>
      <c r="C509" s="317"/>
      <c r="D509" s="491" t="s">
        <v>503</v>
      </c>
      <c r="E509" s="491"/>
      <c r="F509" s="491"/>
      <c r="G509" s="491"/>
      <c r="H509" s="491"/>
      <c r="I509" s="491"/>
      <c r="J509" s="491"/>
      <c r="K509" s="492"/>
      <c r="L509" s="267"/>
    </row>
    <row r="510" spans="2:16" ht="11.25">
      <c r="B510" s="264"/>
      <c r="C510" s="317"/>
      <c r="D510" s="491"/>
      <c r="E510" s="491"/>
      <c r="F510" s="491"/>
      <c r="G510" s="491"/>
      <c r="H510" s="491"/>
      <c r="I510" s="491"/>
      <c r="J510" s="491"/>
      <c r="K510" s="492"/>
      <c r="L510" s="267"/>
    </row>
    <row r="511" spans="2:16" ht="11.25">
      <c r="B511" s="264"/>
      <c r="C511" s="318"/>
      <c r="D511" s="493"/>
      <c r="E511" s="493"/>
      <c r="F511" s="493"/>
      <c r="G511" s="493"/>
      <c r="H511" s="493"/>
      <c r="I511" s="493"/>
      <c r="J511" s="493"/>
      <c r="K511" s="494"/>
      <c r="L511" s="267"/>
    </row>
    <row r="512" spans="2:16" ht="11.25">
      <c r="B512" s="264"/>
      <c r="C512" s="319"/>
      <c r="D512" s="290"/>
      <c r="E512" s="252"/>
      <c r="F512" s="252"/>
      <c r="G512" s="252"/>
      <c r="H512" s="252"/>
      <c r="I512" s="252"/>
      <c r="J512" s="252"/>
      <c r="K512" s="252"/>
      <c r="L512" s="267"/>
    </row>
    <row r="513" spans="2:16" ht="11.25">
      <c r="B513" s="264"/>
      <c r="C513" s="314" t="s">
        <v>60</v>
      </c>
      <c r="D513" s="315" t="s">
        <v>78</v>
      </c>
      <c r="E513" s="265"/>
      <c r="F513" s="265"/>
      <c r="G513" s="265"/>
      <c r="H513" s="265"/>
      <c r="I513" s="265"/>
      <c r="J513" s="265"/>
      <c r="K513" s="316"/>
      <c r="L513" s="267"/>
    </row>
    <row r="514" spans="2:16" ht="11.25">
      <c r="B514" s="264"/>
      <c r="C514" s="318"/>
      <c r="D514" s="320"/>
      <c r="E514" s="312"/>
      <c r="F514" s="312"/>
      <c r="G514" s="312"/>
      <c r="H514" s="312"/>
      <c r="I514" s="312"/>
      <c r="J514" s="312"/>
      <c r="K514" s="321"/>
      <c r="L514" s="267"/>
    </row>
    <row r="515" spans="2:16" ht="11.25" hidden="1">
      <c r="B515" s="264"/>
      <c r="C515" s="281"/>
      <c r="D515" s="288" t="s">
        <v>70</v>
      </c>
      <c r="E515" s="280" t="s">
        <v>69</v>
      </c>
      <c r="F515" s="283">
        <v>0</v>
      </c>
      <c r="G515" s="283">
        <f>I513</f>
        <v>0</v>
      </c>
      <c r="H515" s="301"/>
      <c r="I515" s="283">
        <f>ROUND(F515*G515/100,2)</f>
        <v>0</v>
      </c>
      <c r="J515" s="298"/>
      <c r="K515" s="299"/>
      <c r="L515" s="267"/>
    </row>
    <row r="516" spans="2:16" ht="11.25" hidden="1">
      <c r="B516" s="264"/>
      <c r="C516" s="281"/>
      <c r="D516" s="288" t="s">
        <v>71</v>
      </c>
      <c r="E516" s="280" t="s">
        <v>69</v>
      </c>
      <c r="F516" s="283">
        <v>0</v>
      </c>
      <c r="G516" s="283">
        <f>H513</f>
        <v>0</v>
      </c>
      <c r="H516" s="283">
        <f>ROUND(F516/100*G516,2)</f>
        <v>0</v>
      </c>
      <c r="I516" s="298"/>
      <c r="J516" s="302"/>
      <c r="K516" s="299"/>
      <c r="L516" s="267"/>
    </row>
    <row r="517" spans="2:16" ht="11.25" hidden="1">
      <c r="B517" s="264"/>
      <c r="C517" s="281"/>
      <c r="D517" s="294" t="s">
        <v>72</v>
      </c>
      <c r="E517" s="295"/>
      <c r="F517" s="296"/>
      <c r="G517" s="297"/>
      <c r="H517" s="283">
        <f>SUM(H513,H516)</f>
        <v>0</v>
      </c>
      <c r="I517" s="283">
        <f>SUM(I513,I515)</f>
        <v>0</v>
      </c>
      <c r="J517" s="283">
        <f>SUM(J513:J514)</f>
        <v>0</v>
      </c>
      <c r="K517" s="283">
        <f>SUM(H517:J517)</f>
        <v>0</v>
      </c>
      <c r="L517" s="267"/>
    </row>
    <row r="518" spans="2:16" ht="18" hidden="1">
      <c r="B518" s="264"/>
      <c r="C518" s="281"/>
      <c r="D518" s="288" t="s">
        <v>73</v>
      </c>
      <c r="E518" s="280" t="s">
        <v>69</v>
      </c>
      <c r="F518" s="283"/>
      <c r="G518" s="283">
        <f>SUM(K517)</f>
        <v>0</v>
      </c>
      <c r="H518" s="298"/>
      <c r="I518" s="302"/>
      <c r="J518" s="299"/>
      <c r="K518" s="283">
        <f>ROUND(F518*G518/100,2)</f>
        <v>0</v>
      </c>
      <c r="L518" s="267"/>
      <c r="M518" s="303"/>
    </row>
    <row r="519" spans="2:16" ht="11.25" hidden="1">
      <c r="B519" s="264"/>
      <c r="C519" s="281"/>
      <c r="D519" s="294" t="s">
        <v>74</v>
      </c>
      <c r="E519" s="304"/>
      <c r="F519" s="304"/>
      <c r="G519" s="304"/>
      <c r="H519" s="304"/>
      <c r="I519" s="304"/>
      <c r="J519" s="305"/>
      <c r="K519" s="283">
        <f>SUM(K517:K518)</f>
        <v>0</v>
      </c>
      <c r="L519" s="267"/>
    </row>
    <row r="520" spans="2:16" ht="11.25" hidden="1">
      <c r="B520" s="264"/>
      <c r="C520" s="281"/>
      <c r="D520" s="294" t="s">
        <v>75</v>
      </c>
      <c r="E520" s="305"/>
      <c r="F520" s="283">
        <v>1</v>
      </c>
      <c r="G520" s="283">
        <f>K519</f>
        <v>0</v>
      </c>
      <c r="H520" s="298"/>
      <c r="I520" s="302"/>
      <c r="J520" s="299"/>
      <c r="K520" s="283">
        <f>ROUND(G520/F520,2)</f>
        <v>0</v>
      </c>
      <c r="L520" s="267"/>
    </row>
    <row r="521" spans="2:16" ht="11.25" hidden="1">
      <c r="B521" s="264"/>
      <c r="C521" s="281"/>
      <c r="D521" s="306" t="s">
        <v>76</v>
      </c>
      <c r="E521" s="307"/>
      <c r="F521" s="307"/>
      <c r="G521" s="307"/>
      <c r="H521" s="307"/>
      <c r="I521" s="307"/>
      <c r="J521" s="308"/>
      <c r="K521" s="309">
        <f>K520</f>
        <v>0</v>
      </c>
      <c r="L521" s="267"/>
      <c r="N521" s="310"/>
      <c r="O521" s="310"/>
      <c r="P521" s="310"/>
    </row>
    <row r="522" spans="2:16" ht="11.25" hidden="1">
      <c r="B522" s="270"/>
      <c r="C522" s="311"/>
      <c r="D522" s="312"/>
      <c r="E522" s="312"/>
      <c r="F522" s="312"/>
      <c r="G522" s="312"/>
      <c r="H522" s="312"/>
      <c r="I522" s="312"/>
      <c r="J522" s="312"/>
      <c r="K522" s="312"/>
      <c r="L522" s="273"/>
    </row>
    <row r="523" spans="2:16" ht="11.25" hidden="1">
      <c r="B523" s="260"/>
      <c r="C523" s="313"/>
      <c r="D523" s="265"/>
      <c r="E523" s="265"/>
      <c r="F523" s="265"/>
      <c r="G523" s="265"/>
      <c r="H523" s="265"/>
      <c r="I523" s="265"/>
      <c r="J523" s="265"/>
      <c r="K523" s="265"/>
      <c r="L523" s="263"/>
    </row>
    <row r="524" spans="2:16" ht="11.25" hidden="1">
      <c r="B524" s="264"/>
      <c r="C524" s="314" t="s">
        <v>56</v>
      </c>
      <c r="D524" s="315" t="s">
        <v>77</v>
      </c>
      <c r="E524" s="265"/>
      <c r="F524" s="265"/>
      <c r="G524" s="265"/>
      <c r="H524" s="265"/>
      <c r="I524" s="265"/>
      <c r="J524" s="265"/>
      <c r="K524" s="316"/>
      <c r="L524" s="267"/>
    </row>
    <row r="525" spans="2:16" ht="11.25" hidden="1">
      <c r="B525" s="264"/>
      <c r="C525" s="317"/>
      <c r="D525" s="491" t="s">
        <v>89</v>
      </c>
      <c r="E525" s="491"/>
      <c r="F525" s="491"/>
      <c r="G525" s="491"/>
      <c r="H525" s="491"/>
      <c r="I525" s="491"/>
      <c r="J525" s="491"/>
      <c r="K525" s="492"/>
      <c r="L525" s="267"/>
    </row>
    <row r="526" spans="2:16" ht="11.25" hidden="1">
      <c r="B526" s="264"/>
      <c r="C526" s="318"/>
      <c r="D526" s="501"/>
      <c r="E526" s="501"/>
      <c r="F526" s="501"/>
      <c r="G526" s="501"/>
      <c r="H526" s="501"/>
      <c r="I526" s="501"/>
      <c r="J526" s="501"/>
      <c r="K526" s="502"/>
      <c r="L526" s="267"/>
    </row>
    <row r="527" spans="2:16" ht="11.25" hidden="1">
      <c r="B527" s="264"/>
      <c r="C527" s="319"/>
      <c r="D527" s="290"/>
      <c r="E527" s="252"/>
      <c r="F527" s="252"/>
      <c r="G527" s="252"/>
      <c r="H527" s="252"/>
      <c r="I527" s="252"/>
      <c r="J527" s="252"/>
      <c r="K527" s="252"/>
      <c r="L527" s="267"/>
    </row>
    <row r="528" spans="2:16" ht="11.25" hidden="1">
      <c r="B528" s="264"/>
      <c r="C528" s="314" t="s">
        <v>60</v>
      </c>
      <c r="D528" s="315" t="s">
        <v>78</v>
      </c>
      <c r="E528" s="265"/>
      <c r="F528" s="265"/>
      <c r="G528" s="265"/>
      <c r="H528" s="265"/>
      <c r="I528" s="265"/>
      <c r="J528" s="265"/>
      <c r="K528" s="316"/>
      <c r="L528" s="267"/>
    </row>
    <row r="529" spans="2:16" ht="11.25" hidden="1">
      <c r="B529" s="264"/>
      <c r="C529" s="318"/>
      <c r="D529" s="320"/>
      <c r="E529" s="312"/>
      <c r="F529" s="312"/>
      <c r="G529" s="312"/>
      <c r="H529" s="312"/>
      <c r="I529" s="312"/>
      <c r="J529" s="312"/>
      <c r="K529" s="321"/>
      <c r="L529" s="267"/>
    </row>
    <row r="530" spans="2:16" ht="11.25" hidden="1">
      <c r="B530" s="270"/>
      <c r="C530" s="311"/>
      <c r="D530" s="320"/>
      <c r="E530" s="312"/>
      <c r="F530" s="312"/>
      <c r="G530" s="312"/>
      <c r="H530" s="312"/>
      <c r="I530" s="312"/>
      <c r="J530" s="312"/>
      <c r="K530" s="312"/>
      <c r="L530" s="273"/>
    </row>
    <row r="531" spans="2:16" ht="11.25" hidden="1">
      <c r="C531" s="251"/>
      <c r="D531" s="252"/>
      <c r="E531" s="252"/>
      <c r="F531" s="252"/>
      <c r="G531" s="252"/>
      <c r="H531" s="252"/>
      <c r="I531" s="252"/>
      <c r="J531" s="252"/>
      <c r="K531" s="252"/>
      <c r="N531" s="253"/>
      <c r="O531" s="253"/>
      <c r="P531" s="253"/>
    </row>
    <row r="532" spans="2:16" ht="11.25" hidden="1">
      <c r="B532" s="260"/>
      <c r="C532" s="313"/>
      <c r="D532" s="265"/>
      <c r="E532" s="265"/>
      <c r="F532" s="265"/>
      <c r="G532" s="265"/>
      <c r="H532" s="265"/>
      <c r="I532" s="265"/>
      <c r="J532" s="265"/>
      <c r="K532" s="265"/>
      <c r="L532" s="263"/>
    </row>
    <row r="533" spans="2:16" ht="11.25" hidden="1">
      <c r="B533" s="264"/>
      <c r="C533" s="314"/>
      <c r="D533" s="315" t="s">
        <v>90</v>
      </c>
      <c r="E533" s="265"/>
      <c r="F533" s="265"/>
      <c r="G533" s="265"/>
      <c r="H533" s="265"/>
      <c r="I533" s="265"/>
      <c r="J533" s="265"/>
      <c r="K533" s="316"/>
      <c r="L533" s="267"/>
    </row>
    <row r="534" spans="2:16" ht="11.25" hidden="1">
      <c r="B534" s="264"/>
      <c r="C534" s="317" t="s">
        <v>56</v>
      </c>
      <c r="D534" s="491" t="s">
        <v>116</v>
      </c>
      <c r="E534" s="491"/>
      <c r="F534" s="491"/>
      <c r="G534" s="491"/>
      <c r="H534" s="491"/>
      <c r="I534" s="491"/>
      <c r="J534" s="491"/>
      <c r="K534" s="492"/>
      <c r="L534" s="267"/>
    </row>
    <row r="535" spans="2:16" ht="11.25" hidden="1">
      <c r="B535" s="264"/>
      <c r="C535" s="317" t="s">
        <v>60</v>
      </c>
      <c r="D535" s="323" t="s">
        <v>117</v>
      </c>
      <c r="E535" s="323"/>
      <c r="F535" s="323"/>
      <c r="G535" s="323"/>
      <c r="H535" s="323"/>
      <c r="I535" s="323"/>
      <c r="J535" s="323"/>
      <c r="K535" s="324"/>
      <c r="L535" s="267"/>
    </row>
    <row r="536" spans="2:16" ht="11.25" hidden="1">
      <c r="B536" s="264"/>
      <c r="C536" s="317" t="s">
        <v>61</v>
      </c>
      <c r="D536" s="323" t="s">
        <v>118</v>
      </c>
      <c r="E536" s="323"/>
      <c r="F536" s="323"/>
      <c r="G536" s="323"/>
      <c r="H536" s="323"/>
      <c r="I536" s="323"/>
      <c r="J536" s="323"/>
      <c r="K536" s="324"/>
      <c r="L536" s="267"/>
    </row>
    <row r="537" spans="2:16" ht="11.25" hidden="1">
      <c r="B537" s="264"/>
      <c r="C537" s="317"/>
      <c r="D537" s="323"/>
      <c r="E537" s="323"/>
      <c r="F537" s="323"/>
      <c r="G537" s="323"/>
      <c r="H537" s="323"/>
      <c r="I537" s="323"/>
      <c r="J537" s="323"/>
      <c r="K537" s="324"/>
      <c r="L537" s="267"/>
    </row>
    <row r="538" spans="2:16" ht="11.25" hidden="1">
      <c r="B538" s="264"/>
      <c r="C538" s="318"/>
      <c r="D538" s="320" t="s">
        <v>119</v>
      </c>
      <c r="E538" s="312"/>
      <c r="F538" s="312"/>
      <c r="G538" s="312"/>
      <c r="H538" s="312"/>
      <c r="I538" s="312"/>
      <c r="J538" s="312"/>
      <c r="K538" s="321"/>
      <c r="L538" s="267"/>
    </row>
    <row r="539" spans="2:16" ht="11.25" hidden="1">
      <c r="B539" s="270"/>
      <c r="C539" s="311"/>
      <c r="D539" s="320"/>
      <c r="E539" s="312"/>
      <c r="F539" s="312"/>
      <c r="G539" s="312"/>
      <c r="H539" s="312"/>
      <c r="I539" s="312"/>
      <c r="J539" s="312"/>
      <c r="K539" s="312"/>
      <c r="L539" s="273"/>
    </row>
    <row r="540" spans="2:16" s="451" customFormat="1">
      <c r="C540" s="452"/>
    </row>
    <row r="541" spans="2:16" s="451" customFormat="1" ht="35.1" customHeight="1">
      <c r="B541" s="453"/>
      <c r="C541" s="503" t="s">
        <v>39</v>
      </c>
      <c r="D541" s="504"/>
      <c r="E541" s="504"/>
      <c r="F541" s="504"/>
      <c r="G541" s="504"/>
      <c r="H541" s="504"/>
      <c r="I541" s="504"/>
      <c r="J541" s="504"/>
      <c r="K541" s="505"/>
      <c r="L541" s="454"/>
    </row>
    <row r="542" spans="2:16" s="451" customFormat="1" ht="5.0999999999999996" customHeight="1">
      <c r="B542" s="455"/>
      <c r="C542" s="456"/>
      <c r="D542" s="456"/>
      <c r="E542" s="456"/>
      <c r="F542" s="456"/>
      <c r="G542" s="456"/>
      <c r="H542" s="456"/>
      <c r="I542" s="456"/>
      <c r="J542" s="456"/>
      <c r="K542" s="456"/>
      <c r="L542" s="457"/>
    </row>
    <row r="543" spans="2:16" ht="9.9499999999999993" customHeight="1">
      <c r="B543" s="259"/>
      <c r="C543" s="259"/>
      <c r="D543" s="259"/>
      <c r="E543" s="259"/>
      <c r="F543" s="259"/>
      <c r="G543" s="259"/>
      <c r="H543" s="259"/>
      <c r="I543" s="259"/>
      <c r="J543" s="259"/>
      <c r="K543" s="259"/>
      <c r="L543" s="259"/>
    </row>
    <row r="544" spans="2:16" ht="5.0999999999999996" customHeight="1">
      <c r="B544" s="260"/>
      <c r="C544" s="261"/>
      <c r="D544" s="262"/>
      <c r="E544" s="262"/>
      <c r="F544" s="262"/>
      <c r="G544" s="262"/>
      <c r="H544" s="262"/>
      <c r="I544" s="262"/>
      <c r="J544" s="262"/>
      <c r="K544" s="262"/>
      <c r="L544" s="263"/>
    </row>
    <row r="545" spans="2:16" ht="15" customHeight="1">
      <c r="B545" s="264"/>
      <c r="C545" s="495" t="s">
        <v>40</v>
      </c>
      <c r="D545" s="496"/>
      <c r="E545" s="265"/>
      <c r="F545" s="265"/>
      <c r="G545" s="265"/>
      <c r="H545" s="266" t="s">
        <v>41</v>
      </c>
      <c r="I545" s="266" t="s">
        <v>42</v>
      </c>
      <c r="J545" s="266" t="s">
        <v>43</v>
      </c>
      <c r="K545" s="266" t="s">
        <v>44</v>
      </c>
      <c r="L545" s="267"/>
    </row>
    <row r="546" spans="2:16" ht="35.1" customHeight="1">
      <c r="B546" s="264"/>
      <c r="C546" s="497" t="s">
        <v>496</v>
      </c>
      <c r="D546" s="498"/>
      <c r="E546" s="498"/>
      <c r="F546" s="498"/>
      <c r="G546" s="499"/>
      <c r="H546" s="348" t="s">
        <v>505</v>
      </c>
      <c r="I546" s="268" t="s">
        <v>405</v>
      </c>
      <c r="J546" s="269" t="s">
        <v>194</v>
      </c>
      <c r="K546" s="269" t="s">
        <v>512</v>
      </c>
      <c r="L546" s="267"/>
    </row>
    <row r="547" spans="2:16" ht="5.0999999999999996" customHeight="1">
      <c r="B547" s="270"/>
      <c r="C547" s="271"/>
      <c r="D547" s="271"/>
      <c r="E547" s="271"/>
      <c r="F547" s="271"/>
      <c r="G547" s="271"/>
      <c r="H547" s="271"/>
      <c r="I547" s="271"/>
      <c r="J547" s="272"/>
      <c r="K547" s="272"/>
      <c r="L547" s="273"/>
    </row>
    <row r="548" spans="2:16" ht="9.9499999999999993" customHeight="1">
      <c r="B548" s="274"/>
      <c r="C548" s="275"/>
      <c r="D548" s="275"/>
      <c r="E548" s="275"/>
      <c r="F548" s="275"/>
      <c r="G548" s="275"/>
      <c r="H548" s="275"/>
      <c r="I548" s="275"/>
      <c r="J548" s="276"/>
      <c r="K548" s="276"/>
      <c r="L548" s="274"/>
    </row>
    <row r="549" spans="2:16" ht="5.0999999999999996" customHeight="1">
      <c r="B549" s="260"/>
      <c r="C549" s="261"/>
      <c r="D549" s="262"/>
      <c r="E549" s="262"/>
      <c r="F549" s="262"/>
      <c r="G549" s="262"/>
      <c r="H549" s="262"/>
      <c r="I549" s="262"/>
      <c r="J549" s="262"/>
      <c r="K549" s="262"/>
      <c r="L549" s="263"/>
    </row>
    <row r="550" spans="2:16" s="279" customFormat="1" ht="21.95" customHeight="1">
      <c r="B550" s="277"/>
      <c r="C550" s="500" t="s">
        <v>46</v>
      </c>
      <c r="D550" s="490" t="s">
        <v>47</v>
      </c>
      <c r="E550" s="490" t="s">
        <v>48</v>
      </c>
      <c r="F550" s="490" t="s">
        <v>49</v>
      </c>
      <c r="G550" s="490" t="s">
        <v>50</v>
      </c>
      <c r="H550" s="490" t="s">
        <v>51</v>
      </c>
      <c r="I550" s="490"/>
      <c r="J550" s="490"/>
      <c r="K550" s="490" t="s">
        <v>52</v>
      </c>
      <c r="L550" s="278"/>
    </row>
    <row r="551" spans="2:16" s="279" customFormat="1" ht="21.95" customHeight="1">
      <c r="B551" s="277"/>
      <c r="C551" s="500"/>
      <c r="D551" s="490"/>
      <c r="E551" s="490"/>
      <c r="F551" s="490"/>
      <c r="G551" s="490"/>
      <c r="H551" s="280" t="s">
        <v>53</v>
      </c>
      <c r="I551" s="280" t="s">
        <v>54</v>
      </c>
      <c r="J551" s="280" t="s">
        <v>55</v>
      </c>
      <c r="K551" s="490"/>
      <c r="L551" s="278"/>
    </row>
    <row r="552" spans="2:16" ht="5.0999999999999996" customHeight="1">
      <c r="B552" s="264"/>
      <c r="C552" s="251"/>
      <c r="D552" s="252"/>
      <c r="E552" s="252"/>
      <c r="F552" s="252"/>
      <c r="G552" s="252"/>
      <c r="H552" s="252"/>
      <c r="I552" s="252"/>
      <c r="J552" s="252"/>
      <c r="K552" s="252"/>
      <c r="L552" s="267"/>
    </row>
    <row r="553" spans="2:16" ht="16.5" hidden="1" customHeight="1">
      <c r="B553" s="264"/>
      <c r="C553" s="281" t="s">
        <v>56</v>
      </c>
      <c r="D553" s="282" t="s">
        <v>57</v>
      </c>
      <c r="E553" s="280" t="s">
        <v>58</v>
      </c>
      <c r="F553" s="283">
        <v>0</v>
      </c>
      <c r="G553" s="283">
        <v>52.5</v>
      </c>
      <c r="H553" s="283">
        <f>F553*G553</f>
        <v>0</v>
      </c>
      <c r="I553" s="283"/>
      <c r="J553" s="283"/>
      <c r="K553" s="284" t="s">
        <v>59</v>
      </c>
      <c r="L553" s="267"/>
      <c r="N553" s="285"/>
      <c r="O553" s="286"/>
      <c r="P553" s="285"/>
    </row>
    <row r="554" spans="2:16" ht="11.25">
      <c r="B554" s="264"/>
      <c r="C554" s="281" t="s">
        <v>56</v>
      </c>
      <c r="D554" s="282" t="s">
        <v>506</v>
      </c>
      <c r="E554" s="463" t="s">
        <v>497</v>
      </c>
      <c r="F554" s="287">
        <v>1.1000000000000001</v>
      </c>
      <c r="G554" s="283">
        <v>5.08</v>
      </c>
      <c r="H554" s="283">
        <f>ROUND(F554*G554,2)</f>
        <v>5.59</v>
      </c>
      <c r="I554" s="283"/>
      <c r="J554" s="283"/>
      <c r="K554" s="284">
        <v>34</v>
      </c>
      <c r="L554" s="267"/>
      <c r="N554" s="285"/>
      <c r="O554" s="466">
        <v>5.08</v>
      </c>
      <c r="P554" s="285"/>
    </row>
    <row r="555" spans="2:16" ht="11.25">
      <c r="B555" s="264"/>
      <c r="C555" s="281" t="s">
        <v>61</v>
      </c>
      <c r="D555" s="282" t="s">
        <v>507</v>
      </c>
      <c r="E555" s="463" t="s">
        <v>497</v>
      </c>
      <c r="F555" s="283">
        <v>0.03</v>
      </c>
      <c r="G555" s="283">
        <v>10.75</v>
      </c>
      <c r="H555" s="283">
        <f>ROUND(F555*G555,2)</f>
        <v>0.32</v>
      </c>
      <c r="I555" s="283"/>
      <c r="J555" s="283"/>
      <c r="K555" s="284">
        <v>337</v>
      </c>
      <c r="L555" s="267"/>
      <c r="N555" s="285"/>
      <c r="O555" s="286"/>
      <c r="P555" s="285"/>
    </row>
    <row r="556" spans="2:16" ht="11.25">
      <c r="B556" s="264"/>
      <c r="C556" s="281" t="s">
        <v>62</v>
      </c>
      <c r="D556" s="282" t="s">
        <v>508</v>
      </c>
      <c r="E556" s="464" t="s">
        <v>64</v>
      </c>
      <c r="F556" s="287">
        <v>0.1</v>
      </c>
      <c r="G556" s="283">
        <v>11.37</v>
      </c>
      <c r="H556" s="283"/>
      <c r="I556" s="283"/>
      <c r="J556" s="283">
        <f>F556*G556</f>
        <v>1.1399999999999999</v>
      </c>
      <c r="K556" s="284">
        <v>88238</v>
      </c>
      <c r="L556" s="267"/>
      <c r="N556" s="285"/>
      <c r="O556" s="286"/>
      <c r="P556" s="285"/>
    </row>
    <row r="557" spans="2:16" ht="11.25">
      <c r="B557" s="264"/>
      <c r="C557" s="281" t="s">
        <v>63</v>
      </c>
      <c r="D557" s="282" t="s">
        <v>509</v>
      </c>
      <c r="E557" s="142" t="s">
        <v>85</v>
      </c>
      <c r="F557" s="283">
        <v>0.1</v>
      </c>
      <c r="G557" s="283">
        <v>14.97</v>
      </c>
      <c r="H557" s="283"/>
      <c r="I557" s="283"/>
      <c r="J557" s="283">
        <f>F557*G557</f>
        <v>1.5</v>
      </c>
      <c r="K557" s="284">
        <v>88245</v>
      </c>
      <c r="L557" s="267"/>
      <c r="N557" s="285"/>
      <c r="O557" s="286"/>
      <c r="P557" s="285"/>
    </row>
    <row r="558" spans="2:16" ht="11.25">
      <c r="B558" s="264"/>
      <c r="C558" s="281"/>
      <c r="D558" s="282"/>
      <c r="E558" s="142"/>
      <c r="F558" s="283"/>
      <c r="G558" s="283"/>
      <c r="H558" s="283"/>
      <c r="I558" s="283"/>
      <c r="J558" s="283"/>
      <c r="K558" s="284"/>
      <c r="L558" s="267"/>
      <c r="N558" s="285"/>
      <c r="O558" s="286"/>
      <c r="P558" s="285"/>
    </row>
    <row r="559" spans="2:16" ht="11.25">
      <c r="B559" s="264"/>
      <c r="C559" s="281"/>
      <c r="D559" s="282"/>
      <c r="E559" s="280"/>
      <c r="F559" s="283"/>
      <c r="G559" s="283"/>
      <c r="H559" s="283"/>
      <c r="I559" s="283"/>
      <c r="J559" s="283"/>
      <c r="K559" s="284"/>
      <c r="L559" s="267"/>
      <c r="N559" s="285"/>
      <c r="O559" s="286"/>
      <c r="P559" s="285"/>
    </row>
    <row r="560" spans="2:16" ht="11.25">
      <c r="B560" s="264"/>
      <c r="C560" s="281"/>
      <c r="D560" s="288"/>
      <c r="E560" s="280"/>
      <c r="F560" s="287"/>
      <c r="G560" s="283"/>
      <c r="H560" s="283"/>
      <c r="I560" s="283"/>
      <c r="J560" s="283"/>
      <c r="K560" s="289"/>
      <c r="L560" s="267"/>
      <c r="N560" s="285"/>
      <c r="O560" s="285"/>
      <c r="P560" s="285"/>
    </row>
    <row r="561" spans="2:16" ht="11.25">
      <c r="B561" s="264"/>
      <c r="C561" s="281"/>
      <c r="D561" s="288"/>
      <c r="E561" s="280"/>
      <c r="F561" s="287"/>
      <c r="G561" s="283"/>
      <c r="H561" s="283"/>
      <c r="I561" s="283"/>
      <c r="J561" s="283"/>
      <c r="K561" s="289"/>
      <c r="L561" s="267"/>
      <c r="N561" s="285"/>
      <c r="O561" s="285"/>
      <c r="P561" s="285"/>
    </row>
    <row r="562" spans="2:16" ht="11.25">
      <c r="B562" s="264"/>
      <c r="C562" s="281"/>
      <c r="D562" s="288"/>
      <c r="E562" s="280"/>
      <c r="F562" s="287"/>
      <c r="G562" s="283"/>
      <c r="H562" s="283"/>
      <c r="I562" s="283"/>
      <c r="J562" s="283"/>
      <c r="K562" s="289"/>
      <c r="L562" s="267"/>
      <c r="N562" s="285"/>
      <c r="O562" s="285"/>
      <c r="P562" s="285"/>
    </row>
    <row r="563" spans="2:16" ht="11.25">
      <c r="B563" s="264"/>
      <c r="C563" s="281"/>
      <c r="D563" s="288"/>
      <c r="E563" s="280"/>
      <c r="F563" s="287"/>
      <c r="G563" s="283"/>
      <c r="H563" s="283"/>
      <c r="I563" s="283"/>
      <c r="J563" s="283"/>
      <c r="K563" s="289"/>
      <c r="L563" s="267"/>
      <c r="N563" s="285"/>
      <c r="O563" s="285"/>
      <c r="P563" s="285"/>
    </row>
    <row r="564" spans="2:16" ht="11.25">
      <c r="B564" s="264"/>
      <c r="C564" s="281"/>
      <c r="D564" s="288"/>
      <c r="E564" s="280"/>
      <c r="F564" s="287"/>
      <c r="G564" s="283"/>
      <c r="H564" s="283"/>
      <c r="I564" s="283"/>
      <c r="J564" s="283"/>
      <c r="K564" s="289"/>
      <c r="L564" s="267"/>
      <c r="N564" s="285"/>
      <c r="O564" s="285"/>
      <c r="P564" s="285"/>
    </row>
    <row r="565" spans="2:16" ht="11.25">
      <c r="B565" s="264"/>
      <c r="C565" s="281"/>
      <c r="D565" s="288"/>
      <c r="E565" s="280"/>
      <c r="F565" s="287"/>
      <c r="G565" s="283"/>
      <c r="H565" s="283"/>
      <c r="I565" s="283"/>
      <c r="J565" s="283"/>
      <c r="K565" s="289"/>
      <c r="L565" s="267"/>
    </row>
    <row r="566" spans="2:16" ht="11.25">
      <c r="B566" s="264"/>
      <c r="C566" s="281"/>
      <c r="D566" s="288"/>
      <c r="E566" s="280"/>
      <c r="F566" s="283"/>
      <c r="G566" s="283"/>
      <c r="H566" s="283"/>
      <c r="I566" s="283"/>
      <c r="J566" s="283"/>
      <c r="K566" s="289"/>
      <c r="L566" s="267"/>
    </row>
    <row r="567" spans="2:16" ht="11.25">
      <c r="B567" s="264"/>
      <c r="C567" s="281"/>
      <c r="D567" s="282"/>
      <c r="E567" s="142"/>
      <c r="F567" s="283"/>
      <c r="G567" s="283"/>
      <c r="H567" s="283"/>
      <c r="I567" s="283"/>
      <c r="J567" s="283"/>
      <c r="K567" s="284"/>
      <c r="L567" s="267"/>
      <c r="N567" s="285"/>
      <c r="O567" s="286"/>
      <c r="P567" s="285"/>
    </row>
    <row r="568" spans="2:16" ht="11.25">
      <c r="B568" s="264"/>
      <c r="C568" s="281"/>
      <c r="D568" s="282"/>
      <c r="E568" s="280"/>
      <c r="F568" s="283"/>
      <c r="G568" s="283"/>
      <c r="H568" s="283"/>
      <c r="I568" s="283"/>
      <c r="J568" s="283"/>
      <c r="K568" s="284"/>
      <c r="L568" s="267"/>
      <c r="N568" s="285"/>
      <c r="O568" s="286"/>
      <c r="P568" s="285"/>
    </row>
    <row r="569" spans="2:16" ht="11.25">
      <c r="B569" s="264"/>
      <c r="C569" s="281"/>
      <c r="D569" s="282"/>
      <c r="E569" s="142"/>
      <c r="F569" s="283"/>
      <c r="G569" s="283"/>
      <c r="H569" s="283"/>
      <c r="I569" s="283"/>
      <c r="J569" s="283"/>
      <c r="K569" s="284"/>
      <c r="L569" s="267"/>
      <c r="N569" s="285"/>
      <c r="O569" s="286"/>
      <c r="P569" s="285"/>
    </row>
    <row r="570" spans="2:16" ht="11.25">
      <c r="B570" s="264"/>
      <c r="C570" s="281"/>
      <c r="D570" s="282"/>
      <c r="E570" s="280"/>
      <c r="F570" s="283"/>
      <c r="G570" s="283"/>
      <c r="H570" s="283"/>
      <c r="I570" s="283"/>
      <c r="J570" s="283"/>
      <c r="K570" s="284"/>
      <c r="L570" s="267"/>
      <c r="N570" s="285"/>
      <c r="O570" s="286"/>
      <c r="P570" s="285"/>
    </row>
    <row r="571" spans="2:16" ht="11.25">
      <c r="B571" s="264"/>
      <c r="C571" s="281"/>
      <c r="D571" s="288"/>
      <c r="E571" s="280"/>
      <c r="F571" s="287"/>
      <c r="G571" s="283"/>
      <c r="H571" s="283"/>
      <c r="I571" s="283"/>
      <c r="J571" s="283"/>
      <c r="K571" s="289"/>
      <c r="L571" s="267"/>
      <c r="N571" s="285"/>
      <c r="O571" s="285"/>
      <c r="P571" s="285"/>
    </row>
    <row r="572" spans="2:16" ht="11.25">
      <c r="B572" s="264"/>
      <c r="C572" s="281"/>
      <c r="D572" s="288"/>
      <c r="E572" s="280"/>
      <c r="F572" s="287"/>
      <c r="G572" s="283"/>
      <c r="H572" s="283"/>
      <c r="I572" s="283"/>
      <c r="J572" s="283"/>
      <c r="K572" s="289"/>
      <c r="L572" s="267"/>
      <c r="N572" s="285"/>
      <c r="O572" s="285"/>
      <c r="P572" s="285"/>
    </row>
    <row r="573" spans="2:16" ht="11.25">
      <c r="B573" s="264"/>
      <c r="C573" s="281"/>
      <c r="D573" s="288"/>
      <c r="E573" s="280"/>
      <c r="F573" s="287"/>
      <c r="G573" s="283"/>
      <c r="H573" s="283"/>
      <c r="I573" s="283"/>
      <c r="J573" s="283"/>
      <c r="K573" s="289"/>
      <c r="L573" s="267"/>
      <c r="N573" s="285"/>
      <c r="O573" s="285"/>
      <c r="P573" s="285"/>
    </row>
    <row r="574" spans="2:16" ht="11.25">
      <c r="B574" s="264"/>
      <c r="C574" s="281"/>
      <c r="D574" s="288"/>
      <c r="E574" s="280"/>
      <c r="F574" s="287"/>
      <c r="G574" s="283"/>
      <c r="H574" s="283"/>
      <c r="I574" s="283"/>
      <c r="J574" s="283"/>
      <c r="K574" s="289"/>
      <c r="L574" s="267"/>
      <c r="N574" s="285"/>
      <c r="O574" s="285"/>
      <c r="P574" s="285"/>
    </row>
    <row r="575" spans="2:16" ht="11.25">
      <c r="B575" s="264"/>
      <c r="C575" s="281"/>
      <c r="D575" s="288"/>
      <c r="E575" s="280"/>
      <c r="F575" s="287"/>
      <c r="G575" s="283"/>
      <c r="H575" s="283"/>
      <c r="I575" s="283"/>
      <c r="J575" s="283"/>
      <c r="K575" s="289"/>
      <c r="L575" s="267"/>
      <c r="N575" s="285"/>
      <c r="O575" s="285"/>
      <c r="P575" s="285"/>
    </row>
    <row r="576" spans="2:16" ht="11.25">
      <c r="B576" s="264"/>
      <c r="C576" s="281"/>
      <c r="D576" s="288"/>
      <c r="E576" s="280"/>
      <c r="F576" s="287"/>
      <c r="G576" s="283"/>
      <c r="H576" s="283"/>
      <c r="I576" s="283"/>
      <c r="J576" s="283"/>
      <c r="K576" s="289"/>
      <c r="L576" s="267"/>
    </row>
    <row r="577" spans="2:16" ht="11.25">
      <c r="B577" s="264"/>
      <c r="C577" s="281"/>
      <c r="D577" s="288"/>
      <c r="E577" s="280"/>
      <c r="F577" s="283"/>
      <c r="G577" s="283"/>
      <c r="H577" s="283"/>
      <c r="I577" s="283"/>
      <c r="J577" s="283"/>
      <c r="K577" s="289"/>
      <c r="L577" s="267"/>
    </row>
    <row r="578" spans="2:16" ht="11.25">
      <c r="B578" s="264"/>
      <c r="C578" s="281"/>
      <c r="D578" s="288"/>
      <c r="E578" s="280"/>
      <c r="F578" s="287"/>
      <c r="G578" s="283"/>
      <c r="H578" s="283"/>
      <c r="I578" s="283"/>
      <c r="J578" s="283"/>
      <c r="K578" s="284"/>
      <c r="L578" s="267"/>
      <c r="N578" s="285"/>
      <c r="O578" s="285"/>
      <c r="P578" s="285"/>
    </row>
    <row r="579" spans="2:16" ht="11.25">
      <c r="B579" s="264"/>
      <c r="C579" s="281"/>
      <c r="D579" s="288"/>
      <c r="E579" s="280"/>
      <c r="F579" s="287"/>
      <c r="G579" s="283"/>
      <c r="H579" s="283"/>
      <c r="I579" s="283"/>
      <c r="J579" s="283"/>
      <c r="K579" s="284"/>
      <c r="L579" s="267"/>
      <c r="N579" s="285"/>
      <c r="O579" s="285"/>
      <c r="P579" s="285"/>
    </row>
    <row r="580" spans="2:16" ht="11.25">
      <c r="B580" s="264"/>
      <c r="C580" s="281"/>
      <c r="D580" s="288"/>
      <c r="E580" s="280"/>
      <c r="F580" s="287"/>
      <c r="G580" s="283"/>
      <c r="H580" s="283"/>
      <c r="I580" s="283"/>
      <c r="J580" s="283"/>
      <c r="K580" s="284"/>
      <c r="L580" s="267"/>
      <c r="N580" s="285"/>
      <c r="O580" s="285"/>
      <c r="P580" s="285"/>
    </row>
    <row r="581" spans="2:16" ht="11.25">
      <c r="B581" s="264"/>
      <c r="C581" s="281"/>
      <c r="D581" s="288"/>
      <c r="E581" s="280"/>
      <c r="F581" s="287"/>
      <c r="G581" s="283"/>
      <c r="H581" s="283"/>
      <c r="I581" s="283"/>
      <c r="J581" s="283"/>
      <c r="K581" s="284"/>
      <c r="L581" s="267"/>
      <c r="N581" s="285"/>
      <c r="O581" s="285"/>
      <c r="P581" s="285"/>
    </row>
    <row r="582" spans="2:16" ht="11.25">
      <c r="B582" s="264"/>
      <c r="C582" s="281"/>
      <c r="D582" s="288"/>
      <c r="E582" s="280"/>
      <c r="F582" s="287"/>
      <c r="G582" s="283"/>
      <c r="H582" s="283"/>
      <c r="I582" s="283"/>
      <c r="J582" s="283"/>
      <c r="K582" s="289"/>
      <c r="L582" s="267"/>
      <c r="N582" s="285"/>
      <c r="O582" s="285"/>
      <c r="P582" s="285"/>
    </row>
    <row r="583" spans="2:16" ht="11.25">
      <c r="B583" s="264"/>
      <c r="C583" s="281"/>
      <c r="D583" s="288"/>
      <c r="E583" s="280"/>
      <c r="F583" s="287"/>
      <c r="G583" s="283"/>
      <c r="H583" s="283"/>
      <c r="I583" s="283"/>
      <c r="J583" s="283"/>
      <c r="K583" s="289"/>
      <c r="L583" s="267"/>
      <c r="P583" s="350"/>
    </row>
    <row r="584" spans="2:16" ht="11.25">
      <c r="B584" s="264"/>
      <c r="C584" s="281"/>
      <c r="D584" s="288"/>
      <c r="E584" s="280"/>
      <c r="F584" s="287"/>
      <c r="G584" s="283"/>
      <c r="H584" s="283"/>
      <c r="I584" s="283"/>
      <c r="J584" s="283"/>
      <c r="K584" s="289"/>
      <c r="L584" s="267"/>
      <c r="N584" s="285"/>
      <c r="O584" s="285"/>
      <c r="P584" s="285"/>
    </row>
    <row r="585" spans="2:16" ht="11.25">
      <c r="B585" s="264"/>
      <c r="C585" s="281"/>
      <c r="D585" s="288"/>
      <c r="E585" s="280"/>
      <c r="F585" s="287"/>
      <c r="G585" s="283"/>
      <c r="H585" s="283"/>
      <c r="I585" s="283"/>
      <c r="J585" s="283"/>
      <c r="K585" s="289"/>
      <c r="L585" s="267"/>
      <c r="N585" s="285"/>
      <c r="O585" s="285"/>
      <c r="P585" s="285"/>
    </row>
    <row r="586" spans="2:16" ht="11.25">
      <c r="B586" s="264"/>
      <c r="C586" s="281"/>
      <c r="D586" s="288"/>
      <c r="E586" s="280"/>
      <c r="F586" s="287"/>
      <c r="G586" s="283"/>
      <c r="H586" s="283"/>
      <c r="I586" s="283"/>
      <c r="J586" s="283"/>
      <c r="K586" s="289"/>
      <c r="L586" s="267"/>
      <c r="N586" s="285"/>
      <c r="O586" s="285"/>
      <c r="P586" s="285"/>
    </row>
    <row r="587" spans="2:16" ht="11.25">
      <c r="B587" s="264"/>
      <c r="C587" s="281"/>
      <c r="D587" s="288"/>
      <c r="E587" s="280"/>
      <c r="F587" s="287"/>
      <c r="G587" s="283"/>
      <c r="H587" s="283"/>
      <c r="I587" s="283"/>
      <c r="J587" s="283"/>
      <c r="K587" s="289"/>
      <c r="L587" s="267"/>
      <c r="N587" s="285"/>
      <c r="O587" s="285"/>
      <c r="P587" s="285"/>
    </row>
    <row r="588" spans="2:16" ht="11.25">
      <c r="B588" s="264"/>
      <c r="C588" s="281"/>
      <c r="D588" s="288"/>
      <c r="E588" s="280"/>
      <c r="F588" s="287"/>
      <c r="G588" s="283"/>
      <c r="H588" s="283"/>
      <c r="I588" s="283"/>
      <c r="J588" s="283"/>
      <c r="K588" s="289"/>
      <c r="L588" s="267"/>
      <c r="N588" s="285"/>
      <c r="O588" s="285"/>
      <c r="P588" s="285"/>
    </row>
    <row r="589" spans="2:16" ht="11.25">
      <c r="B589" s="264"/>
      <c r="C589" s="281"/>
      <c r="D589" s="288"/>
      <c r="E589" s="280"/>
      <c r="F589" s="287"/>
      <c r="G589" s="283"/>
      <c r="H589" s="283"/>
      <c r="I589" s="283"/>
      <c r="J589" s="283"/>
      <c r="K589" s="289"/>
      <c r="L589" s="267"/>
      <c r="N589" s="285"/>
      <c r="O589" s="285"/>
      <c r="P589" s="285"/>
    </row>
    <row r="590" spans="2:16" ht="11.25">
      <c r="B590" s="264"/>
      <c r="C590" s="281"/>
      <c r="D590" s="288"/>
      <c r="E590" s="280"/>
      <c r="F590" s="287"/>
      <c r="G590" s="283"/>
      <c r="H590" s="283"/>
      <c r="I590" s="283"/>
      <c r="J590" s="283"/>
      <c r="K590" s="289"/>
      <c r="L590" s="267"/>
    </row>
    <row r="591" spans="2:16" ht="11.25">
      <c r="B591" s="264"/>
      <c r="C591" s="281"/>
      <c r="D591" s="288"/>
      <c r="E591" s="280"/>
      <c r="F591" s="283"/>
      <c r="G591" s="283"/>
      <c r="H591" s="283"/>
      <c r="I591" s="283"/>
      <c r="J591" s="283"/>
      <c r="K591" s="289"/>
      <c r="L591" s="267"/>
    </row>
    <row r="592" spans="2:16" ht="11.25">
      <c r="B592" s="264"/>
      <c r="C592" s="251"/>
      <c r="D592" s="290"/>
      <c r="E592" s="291"/>
      <c r="F592" s="292"/>
      <c r="G592" s="292"/>
      <c r="H592" s="292"/>
      <c r="I592" s="292"/>
      <c r="J592" s="292"/>
      <c r="K592" s="293"/>
      <c r="L592" s="267"/>
    </row>
    <row r="593" spans="2:16" ht="11.25">
      <c r="B593" s="264"/>
      <c r="C593" s="281"/>
      <c r="D593" s="294" t="s">
        <v>67</v>
      </c>
      <c r="E593" s="295"/>
      <c r="F593" s="296"/>
      <c r="G593" s="297"/>
      <c r="H593" s="283">
        <f>ROUND(SUM(H553:H592),2)</f>
        <v>5.91</v>
      </c>
      <c r="I593" s="283">
        <f>ROUND(SUM(I553:I592),2)</f>
        <v>0</v>
      </c>
      <c r="J593" s="283">
        <f>ROUND(SUM(J553:J592),2)</f>
        <v>2.64</v>
      </c>
      <c r="K593" s="283">
        <f>SUM(H593:J593)</f>
        <v>8.5500000000000007</v>
      </c>
      <c r="L593" s="267"/>
    </row>
    <row r="594" spans="2:16" ht="11.25">
      <c r="B594" s="264"/>
      <c r="C594" s="281"/>
      <c r="D594" s="288" t="s">
        <v>68</v>
      </c>
      <c r="E594" s="280" t="s">
        <v>69</v>
      </c>
      <c r="F594" s="283">
        <v>0</v>
      </c>
      <c r="G594" s="283">
        <f>J593</f>
        <v>2.64</v>
      </c>
      <c r="H594" s="298"/>
      <c r="I594" s="299"/>
      <c r="J594" s="300">
        <f>ROUND(F594*G594/100,2)</f>
        <v>0</v>
      </c>
      <c r="K594" s="301"/>
      <c r="L594" s="267"/>
    </row>
    <row r="595" spans="2:16" ht="11.25">
      <c r="B595" s="264"/>
      <c r="C595" s="281"/>
      <c r="D595" s="288" t="s">
        <v>70</v>
      </c>
      <c r="E595" s="280" t="s">
        <v>69</v>
      </c>
      <c r="F595" s="283">
        <v>0</v>
      </c>
      <c r="G595" s="283">
        <f>I593</f>
        <v>0</v>
      </c>
      <c r="H595" s="301"/>
      <c r="I595" s="283">
        <f>ROUND(F595*G595/100,2)</f>
        <v>0</v>
      </c>
      <c r="J595" s="298"/>
      <c r="K595" s="299"/>
      <c r="L595" s="267"/>
    </row>
    <row r="596" spans="2:16" ht="11.25">
      <c r="B596" s="264"/>
      <c r="C596" s="281"/>
      <c r="D596" s="288" t="s">
        <v>71</v>
      </c>
      <c r="E596" s="280" t="s">
        <v>69</v>
      </c>
      <c r="F596" s="283">
        <v>0</v>
      </c>
      <c r="G596" s="283">
        <f>H593</f>
        <v>5.91</v>
      </c>
      <c r="H596" s="283">
        <f>ROUND(F596/100*G596,2)</f>
        <v>0</v>
      </c>
      <c r="I596" s="298"/>
      <c r="J596" s="302"/>
      <c r="K596" s="299"/>
      <c r="L596" s="267"/>
    </row>
    <row r="597" spans="2:16" ht="11.25">
      <c r="B597" s="264"/>
      <c r="C597" s="281"/>
      <c r="D597" s="294" t="s">
        <v>72</v>
      </c>
      <c r="E597" s="295"/>
      <c r="F597" s="296"/>
      <c r="G597" s="297"/>
      <c r="H597" s="283">
        <f>SUM(H593,H596)</f>
        <v>5.91</v>
      </c>
      <c r="I597" s="283">
        <f>SUM(I593,I595)</f>
        <v>0</v>
      </c>
      <c r="J597" s="283">
        <f>SUM(J593:J594)</f>
        <v>2.64</v>
      </c>
      <c r="K597" s="283">
        <f>SUM(H597:J597)</f>
        <v>8.5500000000000007</v>
      </c>
      <c r="L597" s="267"/>
    </row>
    <row r="598" spans="2:16" ht="18">
      <c r="B598" s="264"/>
      <c r="C598" s="281"/>
      <c r="D598" s="288" t="s">
        <v>73</v>
      </c>
      <c r="E598" s="280" t="s">
        <v>69</v>
      </c>
      <c r="F598" s="283"/>
      <c r="G598" s="283">
        <f>SUM(K597)</f>
        <v>8.5500000000000007</v>
      </c>
      <c r="H598" s="298"/>
      <c r="I598" s="302"/>
      <c r="J598" s="299"/>
      <c r="K598" s="283">
        <f>ROUND(F598*G598/100,2)</f>
        <v>0</v>
      </c>
      <c r="L598" s="267"/>
      <c r="M598" s="303"/>
    </row>
    <row r="599" spans="2:16" ht="11.25">
      <c r="B599" s="264"/>
      <c r="C599" s="281"/>
      <c r="D599" s="294" t="s">
        <v>74</v>
      </c>
      <c r="E599" s="304"/>
      <c r="F599" s="304"/>
      <c r="G599" s="304"/>
      <c r="H599" s="304"/>
      <c r="I599" s="304"/>
      <c r="J599" s="305"/>
      <c r="K599" s="283">
        <f>SUM(K597:K598)</f>
        <v>8.5500000000000007</v>
      </c>
      <c r="L599" s="267"/>
    </row>
    <row r="600" spans="2:16" ht="11.25">
      <c r="B600" s="264"/>
      <c r="C600" s="281"/>
      <c r="D600" s="294" t="s">
        <v>75</v>
      </c>
      <c r="E600" s="305"/>
      <c r="F600" s="283">
        <v>1</v>
      </c>
      <c r="G600" s="283">
        <f>K599</f>
        <v>8.5500000000000007</v>
      </c>
      <c r="H600" s="298"/>
      <c r="I600" s="302"/>
      <c r="J600" s="299"/>
      <c r="K600" s="283">
        <f>ROUND(G600/F600,2)</f>
        <v>8.5500000000000007</v>
      </c>
      <c r="L600" s="267"/>
    </row>
    <row r="601" spans="2:16" ht="11.25">
      <c r="B601" s="264"/>
      <c r="C601" s="281"/>
      <c r="D601" s="306" t="s">
        <v>76</v>
      </c>
      <c r="E601" s="307"/>
      <c r="F601" s="307"/>
      <c r="G601" s="307"/>
      <c r="H601" s="307"/>
      <c r="I601" s="307"/>
      <c r="J601" s="308"/>
      <c r="K601" s="309">
        <f>K600</f>
        <v>8.5500000000000007</v>
      </c>
      <c r="L601" s="267"/>
      <c r="N601" s="310"/>
      <c r="O601" s="310"/>
      <c r="P601" s="310"/>
    </row>
    <row r="602" spans="2:16" ht="11.25">
      <c r="B602" s="270"/>
      <c r="C602" s="311"/>
      <c r="D602" s="312"/>
      <c r="E602" s="312"/>
      <c r="F602" s="312"/>
      <c r="G602" s="312"/>
      <c r="H602" s="312"/>
      <c r="I602" s="312"/>
      <c r="J602" s="312"/>
      <c r="K602" s="312"/>
      <c r="L602" s="273"/>
    </row>
    <row r="603" spans="2:16" ht="11.25">
      <c r="C603" s="251"/>
      <c r="D603" s="252"/>
      <c r="E603" s="252"/>
      <c r="F603" s="252"/>
      <c r="G603" s="252"/>
      <c r="H603" s="252"/>
      <c r="I603" s="252"/>
      <c r="J603" s="252"/>
      <c r="K603" s="252"/>
      <c r="N603" s="253"/>
      <c r="O603" s="253"/>
      <c r="P603" s="253"/>
    </row>
    <row r="604" spans="2:16" ht="11.25">
      <c r="B604" s="260"/>
      <c r="C604" s="313"/>
      <c r="D604" s="265"/>
      <c r="E604" s="265"/>
      <c r="F604" s="265"/>
      <c r="G604" s="265"/>
      <c r="H604" s="265"/>
      <c r="I604" s="265"/>
      <c r="J604" s="265"/>
      <c r="K604" s="265"/>
      <c r="L604" s="263"/>
    </row>
    <row r="605" spans="2:16" ht="11.25">
      <c r="B605" s="264"/>
      <c r="C605" s="314" t="s">
        <v>56</v>
      </c>
      <c r="D605" s="315" t="s">
        <v>77</v>
      </c>
      <c r="E605" s="265"/>
      <c r="F605" s="265"/>
      <c r="G605" s="265"/>
      <c r="H605" s="265"/>
      <c r="I605" s="265"/>
      <c r="J605" s="265"/>
      <c r="K605" s="316"/>
      <c r="L605" s="267"/>
    </row>
    <row r="606" spans="2:16" ht="11.25">
      <c r="B606" s="264"/>
      <c r="C606" s="317"/>
      <c r="D606" s="491" t="s">
        <v>503</v>
      </c>
      <c r="E606" s="491"/>
      <c r="F606" s="491"/>
      <c r="G606" s="491"/>
      <c r="H606" s="491"/>
      <c r="I606" s="491"/>
      <c r="J606" s="491"/>
      <c r="K606" s="492"/>
      <c r="L606" s="267"/>
    </row>
    <row r="607" spans="2:16" ht="11.25">
      <c r="B607" s="264"/>
      <c r="C607" s="317"/>
      <c r="D607" s="491"/>
      <c r="E607" s="491"/>
      <c r="F607" s="491"/>
      <c r="G607" s="491"/>
      <c r="H607" s="491"/>
      <c r="I607" s="491"/>
      <c r="J607" s="491"/>
      <c r="K607" s="492"/>
      <c r="L607" s="267"/>
    </row>
    <row r="608" spans="2:16" ht="11.25">
      <c r="B608" s="264"/>
      <c r="C608" s="318"/>
      <c r="D608" s="493"/>
      <c r="E608" s="493"/>
      <c r="F608" s="493"/>
      <c r="G608" s="493"/>
      <c r="H608" s="493"/>
      <c r="I608" s="493"/>
      <c r="J608" s="493"/>
      <c r="K608" s="494"/>
      <c r="L608" s="267"/>
    </row>
    <row r="609" spans="2:12" ht="11.25">
      <c r="B609" s="264"/>
      <c r="C609" s="319"/>
      <c r="D609" s="290"/>
      <c r="E609" s="252"/>
      <c r="F609" s="252"/>
      <c r="G609" s="252"/>
      <c r="H609" s="252"/>
      <c r="I609" s="252"/>
      <c r="J609" s="252"/>
      <c r="K609" s="252"/>
      <c r="L609" s="267"/>
    </row>
    <row r="610" spans="2:12" ht="11.25">
      <c r="B610" s="264"/>
      <c r="C610" s="314" t="s">
        <v>60</v>
      </c>
      <c r="D610" s="315" t="s">
        <v>78</v>
      </c>
      <c r="E610" s="265"/>
      <c r="F610" s="265"/>
      <c r="G610" s="265"/>
      <c r="H610" s="265"/>
      <c r="I610" s="265"/>
      <c r="J610" s="265"/>
      <c r="K610" s="316"/>
      <c r="L610" s="267"/>
    </row>
    <row r="611" spans="2:12" ht="11.25">
      <c r="B611" s="264"/>
      <c r="C611" s="318"/>
      <c r="D611" s="320"/>
      <c r="E611" s="312"/>
      <c r="F611" s="312"/>
      <c r="G611" s="312"/>
      <c r="H611" s="312"/>
      <c r="I611" s="312"/>
      <c r="J611" s="312"/>
      <c r="K611" s="321"/>
      <c r="L611" s="267"/>
    </row>
  </sheetData>
  <mergeCells count="80">
    <mergeCell ref="C451:K451"/>
    <mergeCell ref="C455:D455"/>
    <mergeCell ref="C456:G456"/>
    <mergeCell ref="C460:C461"/>
    <mergeCell ref="D460:D461"/>
    <mergeCell ref="E460:E461"/>
    <mergeCell ref="F460:F461"/>
    <mergeCell ref="G460:G461"/>
    <mergeCell ref="H460:J460"/>
    <mergeCell ref="K460:K461"/>
    <mergeCell ref="C6:D6"/>
    <mergeCell ref="C11:C12"/>
    <mergeCell ref="D11:D12"/>
    <mergeCell ref="E11:E12"/>
    <mergeCell ref="F11:F12"/>
    <mergeCell ref="H192:J192"/>
    <mergeCell ref="K192:K193"/>
    <mergeCell ref="D76:K77"/>
    <mergeCell ref="D85:K85"/>
    <mergeCell ref="G11:G12"/>
    <mergeCell ref="C93:K93"/>
    <mergeCell ref="C97:D97"/>
    <mergeCell ref="C102:C103"/>
    <mergeCell ref="D102:D103"/>
    <mergeCell ref="E102:E103"/>
    <mergeCell ref="F102:F103"/>
    <mergeCell ref="G102:G103"/>
    <mergeCell ref="H102:J102"/>
    <mergeCell ref="K102:K103"/>
    <mergeCell ref="D167:K168"/>
    <mergeCell ref="D176:K176"/>
    <mergeCell ref="C192:C193"/>
    <mergeCell ref="D192:D193"/>
    <mergeCell ref="E192:E193"/>
    <mergeCell ref="F192:F193"/>
    <mergeCell ref="G192:G193"/>
    <mergeCell ref="C2:K2"/>
    <mergeCell ref="D356:K357"/>
    <mergeCell ref="C274:K274"/>
    <mergeCell ref="C278:D278"/>
    <mergeCell ref="C283:C284"/>
    <mergeCell ref="D283:D284"/>
    <mergeCell ref="E283:E284"/>
    <mergeCell ref="F283:F284"/>
    <mergeCell ref="G283:G284"/>
    <mergeCell ref="H283:J283"/>
    <mergeCell ref="K283:K284"/>
    <mergeCell ref="H11:J11"/>
    <mergeCell ref="K11:K12"/>
    <mergeCell ref="D266:K267"/>
    <mergeCell ref="C183:K183"/>
    <mergeCell ref="C187:D187"/>
    <mergeCell ref="D444:K445"/>
    <mergeCell ref="D446:K446"/>
    <mergeCell ref="C363:K363"/>
    <mergeCell ref="C367:D367"/>
    <mergeCell ref="C368:G368"/>
    <mergeCell ref="C372:C373"/>
    <mergeCell ref="D372:D373"/>
    <mergeCell ref="E372:E373"/>
    <mergeCell ref="F372:F373"/>
    <mergeCell ref="G372:G373"/>
    <mergeCell ref="H372:J372"/>
    <mergeCell ref="K372:K373"/>
    <mergeCell ref="D534:K534"/>
    <mergeCell ref="D525:K526"/>
    <mergeCell ref="D509:K510"/>
    <mergeCell ref="D511:K511"/>
    <mergeCell ref="C541:K541"/>
    <mergeCell ref="H550:J550"/>
    <mergeCell ref="K550:K551"/>
    <mergeCell ref="D606:K607"/>
    <mergeCell ref="D608:K608"/>
    <mergeCell ref="C545:D545"/>
    <mergeCell ref="C546:G546"/>
    <mergeCell ref="C550:C551"/>
    <mergeCell ref="D550:D551"/>
    <mergeCell ref="E550:E551"/>
    <mergeCell ref="F550:F551"/>
    <mergeCell ref="G550:G551"/>
  </mergeCells>
  <printOptions horizontalCentered="1"/>
  <pageMargins left="0.25" right="0.25" top="0.75" bottom="0.75" header="0.3" footer="0.3"/>
  <pageSetup paperSize="9" scale="70" orientation="portrait" horizontalDpi="4294967293" verticalDpi="4294967293" r:id="rId1"/>
  <rowBreaks count="6" manualBreakCount="6">
    <brk id="92" min="1" max="11" man="1"/>
    <brk id="181" min="1" max="11" man="1"/>
    <brk id="272" min="1" max="11" man="1"/>
    <brk id="361" min="1" max="11" man="1"/>
    <brk id="450" min="1" max="11" man="1"/>
    <brk id="514" min="1" max="1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2:AN164"/>
  <sheetViews>
    <sheetView view="pageBreakPreview" topLeftCell="A133" zoomScaleSheetLayoutView="100" workbookViewId="0">
      <selection activeCell="Z17" sqref="Z17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8" width="3.7109375" style="200" customWidth="1"/>
    <col min="9" max="9" width="6.42578125" style="200" customWidth="1"/>
    <col min="10" max="13" width="3.7109375" style="200" customWidth="1"/>
    <col min="14" max="15" width="3.7109375" style="199" customWidth="1"/>
    <col min="16" max="18" width="3.7109375" style="200" customWidth="1"/>
    <col min="19" max="19" width="3.7109375" style="199" customWidth="1"/>
    <col min="20" max="34" width="3.71093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398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35" t="s">
        <v>171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0</v>
      </c>
      <c r="C10" s="543"/>
      <c r="D10" s="199" t="s">
        <v>148</v>
      </c>
      <c r="E10" s="198" t="s">
        <v>175</v>
      </c>
      <c r="F10" s="543">
        <f>AK10</f>
        <v>0</v>
      </c>
      <c r="G10" s="543"/>
      <c r="H10" s="199" t="s">
        <v>148</v>
      </c>
      <c r="I10" s="198" t="s">
        <v>176</v>
      </c>
      <c r="J10" s="543">
        <f>B10*F10</f>
        <v>0</v>
      </c>
      <c r="K10" s="543"/>
      <c r="L10" s="199" t="s">
        <v>85</v>
      </c>
      <c r="N10" s="198"/>
      <c r="O10" s="198"/>
      <c r="AJ10" s="201">
        <v>0</v>
      </c>
      <c r="AK10" s="201">
        <v>0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AJ74</f>
        <v>59.68</v>
      </c>
      <c r="C16" s="530"/>
      <c r="D16" s="200" t="s">
        <v>148</v>
      </c>
      <c r="E16" s="214" t="s">
        <v>175</v>
      </c>
      <c r="F16" s="205"/>
      <c r="G16" s="543">
        <f>AK74</f>
        <v>5.5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0">
      <c r="B17" s="204"/>
      <c r="C17" s="204"/>
      <c r="D17" s="204"/>
      <c r="E17" s="206"/>
      <c r="AJ17" s="201"/>
      <c r="AK17" s="202"/>
      <c r="AL17" s="202"/>
      <c r="AM17" s="203"/>
      <c r="AN17" s="203"/>
    </row>
    <row r="18" spans="1:40">
      <c r="A18" s="200" t="s">
        <v>185</v>
      </c>
      <c r="B18" s="204"/>
      <c r="C18" s="525">
        <f>B16*G16</f>
        <v>328.24</v>
      </c>
      <c r="D18" s="525"/>
      <c r="E18" s="525"/>
      <c r="F18" s="206" t="s">
        <v>85</v>
      </c>
      <c r="AJ18" s="201"/>
      <c r="AK18" s="202"/>
      <c r="AL18" s="202"/>
      <c r="AM18" s="203"/>
      <c r="AN18" s="203"/>
    </row>
    <row r="19" spans="1:40">
      <c r="F19" s="216"/>
      <c r="G19" s="216"/>
      <c r="N19" s="200"/>
      <c r="O19" s="200"/>
      <c r="S19" s="200"/>
      <c r="AJ19" s="201"/>
      <c r="AK19" s="202"/>
      <c r="AL19" s="202"/>
      <c r="AM19" s="203"/>
      <c r="AN19" s="203"/>
    </row>
    <row r="20" spans="1:40" ht="15">
      <c r="A20" s="542" t="s">
        <v>177</v>
      </c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201"/>
      <c r="AK20" s="202"/>
      <c r="AL20" s="202"/>
      <c r="AM20" s="203"/>
      <c r="AN20" s="203"/>
    </row>
    <row r="21" spans="1:40">
      <c r="AJ21" s="201"/>
      <c r="AK21" s="202"/>
      <c r="AL21" s="202"/>
      <c r="AM21" s="203"/>
      <c r="AN21" s="203"/>
    </row>
    <row r="22" spans="1:40">
      <c r="A22" s="530" t="s">
        <v>442</v>
      </c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530"/>
      <c r="AB22" s="530"/>
      <c r="AC22" s="530"/>
      <c r="AD22" s="530"/>
      <c r="AE22" s="530"/>
      <c r="AF22" s="530"/>
      <c r="AG22" s="530"/>
      <c r="AH22" s="530"/>
      <c r="AI22" s="530"/>
      <c r="AJ22" s="201"/>
      <c r="AK22" s="202"/>
      <c r="AL22" s="202"/>
      <c r="AM22" s="203"/>
      <c r="AN22" s="203"/>
    </row>
    <row r="23" spans="1:40">
      <c r="AJ23" s="201" t="s">
        <v>178</v>
      </c>
      <c r="AK23" s="202"/>
      <c r="AL23" s="202"/>
      <c r="AM23" s="203"/>
      <c r="AN23" s="203"/>
    </row>
    <row r="24" spans="1:40">
      <c r="A24" s="200" t="s">
        <v>179</v>
      </c>
      <c r="B24" s="543">
        <f>AJ24</f>
        <v>2</v>
      </c>
      <c r="C24" s="543"/>
      <c r="D24" s="200" t="s">
        <v>102</v>
      </c>
      <c r="AJ24" s="201">
        <v>2</v>
      </c>
      <c r="AK24" s="202"/>
      <c r="AL24" s="202"/>
      <c r="AM24" s="203"/>
      <c r="AN24" s="203"/>
    </row>
    <row r="25" spans="1:40">
      <c r="AJ25" s="201"/>
      <c r="AK25" s="202"/>
      <c r="AL25" s="202"/>
      <c r="AM25" s="203"/>
      <c r="AN25" s="203"/>
    </row>
    <row r="26" spans="1:40" s="197" customFormat="1" ht="15" hidden="1">
      <c r="A26" s="559" t="s">
        <v>232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559"/>
      <c r="S26" s="559"/>
      <c r="T26" s="559"/>
      <c r="U26" s="559"/>
      <c r="V26" s="559"/>
      <c r="W26" s="559"/>
      <c r="X26" s="559"/>
      <c r="Y26" s="559"/>
      <c r="Z26" s="559"/>
      <c r="AA26" s="559"/>
      <c r="AB26" s="559"/>
      <c r="AC26" s="559"/>
      <c r="AD26" s="559"/>
      <c r="AE26" s="559"/>
      <c r="AF26" s="559"/>
      <c r="AG26" s="559"/>
      <c r="AH26" s="559"/>
      <c r="AI26" s="559"/>
      <c r="AJ26" s="207"/>
      <c r="AK26" s="208"/>
      <c r="AL26" s="208"/>
      <c r="AM26" s="209"/>
      <c r="AN26" s="209"/>
    </row>
    <row r="27" spans="1:40" s="197" customFormat="1" hidden="1">
      <c r="N27" s="210"/>
      <c r="O27" s="210"/>
      <c r="S27" s="210"/>
      <c r="AJ27" s="207"/>
      <c r="AK27" s="208"/>
      <c r="AL27" s="208"/>
      <c r="AM27" s="209"/>
      <c r="AN27" s="209"/>
    </row>
    <row r="28" spans="1:40" s="197" customFormat="1" hidden="1">
      <c r="A28" s="558" t="s">
        <v>233</v>
      </c>
      <c r="B28" s="558"/>
      <c r="C28" s="558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558"/>
      <c r="T28" s="558"/>
      <c r="U28" s="558"/>
      <c r="V28" s="558"/>
      <c r="W28" s="558"/>
      <c r="X28" s="558"/>
      <c r="Y28" s="558"/>
      <c r="Z28" s="558"/>
      <c r="AA28" s="558"/>
      <c r="AB28" s="558"/>
      <c r="AC28" s="558"/>
      <c r="AD28" s="558"/>
      <c r="AE28" s="558"/>
      <c r="AF28" s="558"/>
      <c r="AG28" s="558"/>
      <c r="AH28" s="558"/>
      <c r="AI28" s="558"/>
      <c r="AJ28" s="207"/>
      <c r="AK28" s="208"/>
      <c r="AL28" s="208"/>
      <c r="AM28" s="209"/>
      <c r="AN28" s="209"/>
    </row>
    <row r="29" spans="1:40" s="197" customFormat="1" hidden="1">
      <c r="N29" s="210"/>
      <c r="O29" s="210"/>
      <c r="S29" s="210"/>
      <c r="AJ29" s="207" t="s">
        <v>234</v>
      </c>
      <c r="AK29" s="208"/>
      <c r="AL29" s="208"/>
      <c r="AM29" s="209"/>
      <c r="AN29" s="209"/>
    </row>
    <row r="30" spans="1:40" s="197" customFormat="1" hidden="1">
      <c r="A30" s="197" t="s">
        <v>235</v>
      </c>
      <c r="B30" s="560">
        <f>AJ30</f>
        <v>1</v>
      </c>
      <c r="C30" s="560"/>
      <c r="D30" s="558" t="s">
        <v>102</v>
      </c>
      <c r="E30" s="558"/>
      <c r="N30" s="210"/>
      <c r="O30" s="210"/>
      <c r="S30" s="210"/>
      <c r="AJ30" s="207">
        <v>1</v>
      </c>
      <c r="AK30" s="208"/>
      <c r="AL30" s="208"/>
      <c r="AM30" s="209"/>
      <c r="AN30" s="209"/>
    </row>
    <row r="31" spans="1:40" s="197" customFormat="1" hidden="1">
      <c r="N31" s="210"/>
      <c r="O31" s="210"/>
      <c r="S31" s="210"/>
      <c r="AJ31" s="207"/>
      <c r="AK31" s="208"/>
      <c r="AL31" s="208"/>
      <c r="AM31" s="209"/>
      <c r="AN31" s="209"/>
    </row>
    <row r="32" spans="1:40" s="197" customFormat="1" hidden="1">
      <c r="N32" s="210"/>
      <c r="O32" s="210"/>
      <c r="S32" s="210"/>
      <c r="AJ32" s="207"/>
      <c r="AK32" s="208"/>
      <c r="AL32" s="208"/>
      <c r="AM32" s="209"/>
      <c r="AN32" s="209"/>
    </row>
    <row r="33" spans="1:40" s="197" customFormat="1" ht="15" hidden="1">
      <c r="A33" s="559" t="s">
        <v>236</v>
      </c>
      <c r="B33" s="559"/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9"/>
      <c r="V33" s="559"/>
      <c r="W33" s="559"/>
      <c r="X33" s="559"/>
      <c r="Y33" s="559"/>
      <c r="Z33" s="559"/>
      <c r="AA33" s="559"/>
      <c r="AB33" s="559"/>
      <c r="AC33" s="559"/>
      <c r="AD33" s="559"/>
      <c r="AE33" s="559"/>
      <c r="AF33" s="559"/>
      <c r="AG33" s="559"/>
      <c r="AH33" s="559"/>
      <c r="AI33" s="559"/>
      <c r="AJ33" s="207"/>
      <c r="AK33" s="208"/>
      <c r="AL33" s="208"/>
      <c r="AM33" s="209"/>
      <c r="AN33" s="209"/>
    </row>
    <row r="34" spans="1:40" s="197" customFormat="1" hidden="1">
      <c r="N34" s="210"/>
      <c r="O34" s="210"/>
      <c r="S34" s="210"/>
      <c r="AJ34" s="207"/>
      <c r="AK34" s="208"/>
      <c r="AL34" s="208"/>
      <c r="AM34" s="209"/>
      <c r="AN34" s="209"/>
    </row>
    <row r="35" spans="1:40" s="197" customFormat="1" hidden="1">
      <c r="A35" s="558" t="s">
        <v>233</v>
      </c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8"/>
      <c r="S35" s="558"/>
      <c r="T35" s="558"/>
      <c r="U35" s="558"/>
      <c r="V35" s="558"/>
      <c r="W35" s="558"/>
      <c r="X35" s="558"/>
      <c r="Y35" s="558"/>
      <c r="Z35" s="558"/>
      <c r="AA35" s="558"/>
      <c r="AB35" s="558"/>
      <c r="AC35" s="558"/>
      <c r="AD35" s="558"/>
      <c r="AE35" s="558"/>
      <c r="AF35" s="558"/>
      <c r="AG35" s="558"/>
      <c r="AH35" s="558"/>
      <c r="AI35" s="558"/>
      <c r="AJ35" s="207"/>
      <c r="AK35" s="208"/>
      <c r="AL35" s="208"/>
      <c r="AM35" s="209"/>
      <c r="AN35" s="209"/>
    </row>
    <row r="36" spans="1:40" s="197" customFormat="1" hidden="1">
      <c r="N36" s="210"/>
      <c r="O36" s="210"/>
      <c r="S36" s="210"/>
      <c r="AJ36" s="207" t="s">
        <v>234</v>
      </c>
      <c r="AK36" s="208"/>
      <c r="AL36" s="208"/>
      <c r="AM36" s="209"/>
      <c r="AN36" s="209"/>
    </row>
    <row r="37" spans="1:40" s="197" customFormat="1" hidden="1">
      <c r="A37" s="197" t="s">
        <v>235</v>
      </c>
      <c r="B37" s="560">
        <f>AJ37</f>
        <v>1</v>
      </c>
      <c r="C37" s="560"/>
      <c r="D37" s="558" t="s">
        <v>102</v>
      </c>
      <c r="E37" s="558"/>
      <c r="N37" s="210"/>
      <c r="O37" s="210"/>
      <c r="S37" s="210"/>
      <c r="AJ37" s="207">
        <v>1</v>
      </c>
      <c r="AK37" s="208"/>
      <c r="AL37" s="208"/>
      <c r="AM37" s="209"/>
      <c r="AN37" s="209"/>
    </row>
    <row r="38" spans="1:40" s="197" customFormat="1" hidden="1">
      <c r="N38" s="210"/>
      <c r="O38" s="210"/>
      <c r="S38" s="210"/>
      <c r="AJ38" s="207"/>
      <c r="AK38" s="208"/>
      <c r="AL38" s="208"/>
      <c r="AM38" s="209"/>
      <c r="AN38" s="209"/>
    </row>
    <row r="39" spans="1:40" s="197" customFormat="1" hidden="1">
      <c r="N39" s="210"/>
      <c r="O39" s="210"/>
      <c r="S39" s="210"/>
      <c r="AJ39" s="207"/>
      <c r="AK39" s="208"/>
      <c r="AL39" s="208"/>
      <c r="AM39" s="209"/>
      <c r="AN39" s="209"/>
    </row>
    <row r="40" spans="1:40" s="197" customFormat="1" ht="15" hidden="1">
      <c r="A40" s="559" t="s">
        <v>237</v>
      </c>
      <c r="B40" s="559"/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  <c r="AB40" s="559"/>
      <c r="AC40" s="559"/>
      <c r="AD40" s="559"/>
      <c r="AE40" s="559"/>
      <c r="AF40" s="559"/>
      <c r="AG40" s="559"/>
      <c r="AH40" s="559"/>
      <c r="AI40" s="559"/>
      <c r="AJ40" s="207"/>
      <c r="AK40" s="208"/>
      <c r="AL40" s="208"/>
      <c r="AM40" s="209"/>
      <c r="AN40" s="209"/>
    </row>
    <row r="41" spans="1:40" s="197" customFormat="1" hidden="1">
      <c r="N41" s="210"/>
      <c r="O41" s="210"/>
      <c r="S41" s="210"/>
      <c r="AJ41" s="207"/>
      <c r="AK41" s="208"/>
      <c r="AL41" s="208"/>
      <c r="AM41" s="209"/>
      <c r="AN41" s="209"/>
    </row>
    <row r="42" spans="1:40" s="197" customFormat="1" hidden="1">
      <c r="A42" s="558" t="s">
        <v>233</v>
      </c>
      <c r="B42" s="558"/>
      <c r="C42" s="558"/>
      <c r="D42" s="558"/>
      <c r="E42" s="558"/>
      <c r="F42" s="558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8"/>
      <c r="S42" s="558"/>
      <c r="T42" s="558"/>
      <c r="U42" s="558"/>
      <c r="V42" s="558"/>
      <c r="W42" s="558"/>
      <c r="X42" s="558"/>
      <c r="Y42" s="558"/>
      <c r="Z42" s="558"/>
      <c r="AA42" s="558"/>
      <c r="AB42" s="558"/>
      <c r="AC42" s="558"/>
      <c r="AD42" s="558"/>
      <c r="AE42" s="558"/>
      <c r="AF42" s="558"/>
      <c r="AG42" s="558"/>
      <c r="AH42" s="558"/>
      <c r="AI42" s="558"/>
      <c r="AJ42" s="207"/>
      <c r="AK42" s="208"/>
      <c r="AL42" s="208"/>
      <c r="AM42" s="209"/>
      <c r="AN42" s="209"/>
    </row>
    <row r="43" spans="1:40" s="197" customFormat="1" hidden="1">
      <c r="N43" s="210"/>
      <c r="O43" s="210"/>
      <c r="S43" s="210"/>
      <c r="AJ43" s="207" t="s">
        <v>234</v>
      </c>
      <c r="AK43" s="208"/>
      <c r="AL43" s="208"/>
      <c r="AM43" s="209"/>
      <c r="AN43" s="209"/>
    </row>
    <row r="44" spans="1:40" s="197" customFormat="1" hidden="1">
      <c r="A44" s="197" t="s">
        <v>235</v>
      </c>
      <c r="B44" s="560">
        <f>AJ44</f>
        <v>1</v>
      </c>
      <c r="C44" s="560"/>
      <c r="D44" s="558" t="s">
        <v>102</v>
      </c>
      <c r="E44" s="558"/>
      <c r="N44" s="210"/>
      <c r="O44" s="210"/>
      <c r="S44" s="210"/>
      <c r="AJ44" s="207">
        <v>1</v>
      </c>
      <c r="AK44" s="208"/>
      <c r="AL44" s="208"/>
      <c r="AM44" s="209"/>
      <c r="AN44" s="209"/>
    </row>
    <row r="45" spans="1:40" s="197" customFormat="1" hidden="1">
      <c r="N45" s="210"/>
      <c r="O45" s="210"/>
      <c r="S45" s="210"/>
      <c r="AJ45" s="211"/>
      <c r="AK45" s="208"/>
      <c r="AL45" s="208"/>
      <c r="AM45" s="209"/>
      <c r="AN45" s="209"/>
    </row>
    <row r="46" spans="1:40" s="197" customFormat="1" hidden="1">
      <c r="N46" s="210"/>
      <c r="O46" s="210"/>
      <c r="S46" s="210"/>
      <c r="AJ46" s="211"/>
      <c r="AK46" s="208"/>
      <c r="AL46" s="208"/>
      <c r="AM46" s="209"/>
      <c r="AN46" s="209"/>
    </row>
    <row r="47" spans="1:40" s="197" customFormat="1" ht="15" hidden="1">
      <c r="A47" s="559" t="s">
        <v>238</v>
      </c>
      <c r="B47" s="559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211"/>
      <c r="AK47" s="208"/>
      <c r="AL47" s="208"/>
      <c r="AM47" s="209"/>
      <c r="AN47" s="209"/>
    </row>
    <row r="48" spans="1:40" s="197" customFormat="1" hidden="1">
      <c r="N48" s="210"/>
      <c r="O48" s="210"/>
      <c r="S48" s="210"/>
      <c r="AJ48" s="211"/>
      <c r="AK48" s="208"/>
      <c r="AL48" s="208"/>
      <c r="AM48" s="209"/>
      <c r="AN48" s="209"/>
    </row>
    <row r="49" spans="1:40" s="197" customFormat="1" hidden="1">
      <c r="A49" s="558" t="s">
        <v>233</v>
      </c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8"/>
      <c r="AE49" s="558"/>
      <c r="AF49" s="558"/>
      <c r="AG49" s="558"/>
      <c r="AH49" s="558"/>
      <c r="AI49" s="558"/>
      <c r="AJ49" s="211"/>
      <c r="AK49" s="208"/>
      <c r="AL49" s="208"/>
      <c r="AM49" s="209"/>
      <c r="AN49" s="209"/>
    </row>
    <row r="50" spans="1:40" s="197" customFormat="1" hidden="1">
      <c r="N50" s="210"/>
      <c r="O50" s="210"/>
      <c r="S50" s="210"/>
      <c r="AJ50" s="207" t="s">
        <v>234</v>
      </c>
      <c r="AK50" s="208"/>
      <c r="AL50" s="208"/>
      <c r="AM50" s="209"/>
      <c r="AN50" s="209"/>
    </row>
    <row r="51" spans="1:40" s="197" customFormat="1" hidden="1">
      <c r="A51" s="197" t="s">
        <v>235</v>
      </c>
      <c r="B51" s="560">
        <f>AJ51</f>
        <v>1</v>
      </c>
      <c r="C51" s="560"/>
      <c r="D51" s="558" t="s">
        <v>102</v>
      </c>
      <c r="E51" s="558"/>
      <c r="N51" s="210"/>
      <c r="O51" s="210"/>
      <c r="S51" s="210"/>
      <c r="AJ51" s="207">
        <v>1</v>
      </c>
      <c r="AK51" s="208"/>
      <c r="AL51" s="208"/>
      <c r="AM51" s="209"/>
      <c r="AN51" s="209"/>
    </row>
    <row r="52" spans="1:40" s="197" customFormat="1" hidden="1">
      <c r="N52" s="210"/>
      <c r="O52" s="210"/>
      <c r="S52" s="210"/>
      <c r="AJ52" s="207"/>
      <c r="AK52" s="208"/>
      <c r="AL52" s="208"/>
      <c r="AM52" s="209"/>
      <c r="AN52" s="209"/>
    </row>
    <row r="53" spans="1:40" s="197" customFormat="1" hidden="1">
      <c r="N53" s="210"/>
      <c r="O53" s="210"/>
      <c r="S53" s="210"/>
      <c r="AJ53" s="207"/>
      <c r="AK53" s="208"/>
      <c r="AL53" s="208"/>
      <c r="AM53" s="209"/>
      <c r="AN53" s="209"/>
    </row>
    <row r="54" spans="1:40" s="197" customFormat="1" ht="15" hidden="1">
      <c r="A54" s="559" t="s">
        <v>239</v>
      </c>
      <c r="B54" s="559"/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P54" s="559"/>
      <c r="Q54" s="559"/>
      <c r="R54" s="559"/>
      <c r="S54" s="559"/>
      <c r="T54" s="559"/>
      <c r="U54" s="559"/>
      <c r="V54" s="559"/>
      <c r="W54" s="559"/>
      <c r="X54" s="559"/>
      <c r="Y54" s="559"/>
      <c r="Z54" s="559"/>
      <c r="AA54" s="559"/>
      <c r="AB54" s="559"/>
      <c r="AC54" s="559"/>
      <c r="AD54" s="559"/>
      <c r="AE54" s="559"/>
      <c r="AF54" s="559"/>
      <c r="AG54" s="559"/>
      <c r="AH54" s="559"/>
      <c r="AI54" s="559"/>
      <c r="AJ54" s="207"/>
      <c r="AK54" s="208"/>
      <c r="AL54" s="208"/>
      <c r="AM54" s="209"/>
      <c r="AN54" s="209"/>
    </row>
    <row r="55" spans="1:40" s="197" customFormat="1" hidden="1">
      <c r="N55" s="210"/>
      <c r="O55" s="210"/>
      <c r="S55" s="210"/>
      <c r="AJ55" s="207"/>
      <c r="AK55" s="208"/>
      <c r="AL55" s="208"/>
      <c r="AM55" s="209"/>
      <c r="AN55" s="209"/>
    </row>
    <row r="56" spans="1:40" s="197" customFormat="1" hidden="1">
      <c r="A56" s="558" t="s">
        <v>233</v>
      </c>
      <c r="B56" s="558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207"/>
      <c r="AK56" s="208"/>
      <c r="AL56" s="208"/>
      <c r="AM56" s="209"/>
      <c r="AN56" s="209"/>
    </row>
    <row r="57" spans="1:40" s="197" customFormat="1" hidden="1">
      <c r="N57" s="210"/>
      <c r="O57" s="210"/>
      <c r="S57" s="210"/>
      <c r="AJ57" s="207" t="s">
        <v>234</v>
      </c>
      <c r="AK57" s="208"/>
      <c r="AL57" s="208"/>
      <c r="AM57" s="209"/>
      <c r="AN57" s="209"/>
    </row>
    <row r="58" spans="1:40" s="197" customFormat="1" hidden="1">
      <c r="A58" s="197" t="s">
        <v>235</v>
      </c>
      <c r="B58" s="560">
        <f>AJ58</f>
        <v>1</v>
      </c>
      <c r="C58" s="560"/>
      <c r="D58" s="558" t="s">
        <v>102</v>
      </c>
      <c r="E58" s="558"/>
      <c r="N58" s="210"/>
      <c r="O58" s="210"/>
      <c r="S58" s="210"/>
      <c r="AJ58" s="207">
        <v>1</v>
      </c>
      <c r="AK58" s="208"/>
      <c r="AL58" s="208"/>
      <c r="AM58" s="209"/>
      <c r="AN58" s="209"/>
    </row>
    <row r="59" spans="1:40" s="197" customFormat="1" hidden="1">
      <c r="N59" s="210"/>
      <c r="O59" s="210"/>
      <c r="S59" s="210"/>
      <c r="AJ59" s="207"/>
      <c r="AK59" s="208"/>
      <c r="AL59" s="208"/>
      <c r="AM59" s="209"/>
      <c r="AN59" s="209"/>
    </row>
    <row r="60" spans="1:40" s="197" customFormat="1" hidden="1">
      <c r="N60" s="210"/>
      <c r="O60" s="210"/>
      <c r="S60" s="210"/>
      <c r="AJ60" s="207"/>
      <c r="AK60" s="208"/>
      <c r="AL60" s="208"/>
      <c r="AM60" s="209"/>
      <c r="AN60" s="209"/>
    </row>
    <row r="61" spans="1:40" ht="15">
      <c r="A61" s="539" t="s">
        <v>180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1"/>
      <c r="AJ61" s="201"/>
      <c r="AK61" s="202"/>
      <c r="AL61" s="202"/>
      <c r="AM61" s="203"/>
      <c r="AN61" s="203"/>
    </row>
    <row r="62" spans="1:40">
      <c r="AJ62" s="201"/>
      <c r="AK62" s="202"/>
      <c r="AL62" s="202"/>
      <c r="AM62" s="203"/>
      <c r="AN62" s="203"/>
    </row>
    <row r="63" spans="1:40" ht="15">
      <c r="A63" s="542" t="s">
        <v>409</v>
      </c>
      <c r="B63" s="542"/>
      <c r="C63" s="542"/>
      <c r="D63" s="542"/>
      <c r="E63" s="542"/>
      <c r="F63" s="542"/>
      <c r="G63" s="542"/>
      <c r="H63" s="542"/>
      <c r="I63" s="542"/>
      <c r="J63" s="542"/>
      <c r="K63" s="542"/>
      <c r="L63" s="542"/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  <c r="X63" s="542"/>
      <c r="Y63" s="542"/>
      <c r="Z63" s="542"/>
      <c r="AA63" s="542"/>
      <c r="AB63" s="542"/>
      <c r="AC63" s="542"/>
      <c r="AD63" s="542"/>
      <c r="AE63" s="542"/>
      <c r="AF63" s="542"/>
      <c r="AG63" s="542"/>
      <c r="AH63" s="542"/>
      <c r="AI63" s="542"/>
      <c r="AJ63" s="201"/>
      <c r="AK63" s="202"/>
      <c r="AL63" s="202"/>
      <c r="AM63" s="203"/>
      <c r="AN63" s="203"/>
    </row>
    <row r="64" spans="1:40">
      <c r="AJ64" s="201"/>
      <c r="AK64" s="202"/>
      <c r="AL64" s="202"/>
      <c r="AM64" s="203"/>
      <c r="AN64" s="203"/>
    </row>
    <row r="65" spans="1:40">
      <c r="A65" s="530" t="s">
        <v>248</v>
      </c>
      <c r="B65" s="530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0"/>
      <c r="S65" s="530"/>
      <c r="T65" s="530"/>
      <c r="U65" s="530"/>
      <c r="V65" s="530"/>
      <c r="W65" s="530"/>
      <c r="X65" s="530"/>
      <c r="Y65" s="530"/>
      <c r="Z65" s="530"/>
      <c r="AA65" s="530"/>
      <c r="AB65" s="530"/>
      <c r="AC65" s="530"/>
      <c r="AD65" s="530"/>
      <c r="AE65" s="530"/>
      <c r="AF65" s="530"/>
      <c r="AG65" s="530"/>
      <c r="AH65" s="530"/>
      <c r="AI65" s="530"/>
      <c r="AJ65" s="201"/>
      <c r="AK65" s="202"/>
      <c r="AL65" s="202"/>
      <c r="AM65" s="203"/>
      <c r="AN65" s="203"/>
    </row>
    <row r="66" spans="1:40">
      <c r="A66" s="526"/>
      <c r="B66" s="526"/>
      <c r="C66" s="526"/>
      <c r="D66" s="526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526"/>
      <c r="P66" s="526"/>
      <c r="Q66" s="526"/>
      <c r="R66" s="526"/>
      <c r="S66" s="526"/>
      <c r="T66" s="526"/>
      <c r="U66" s="526"/>
      <c r="V66" s="526"/>
      <c r="W66" s="526"/>
      <c r="X66" s="526"/>
      <c r="Y66" s="526"/>
      <c r="Z66" s="526"/>
      <c r="AA66" s="526"/>
      <c r="AB66" s="526"/>
      <c r="AC66" s="526"/>
      <c r="AD66" s="526"/>
      <c r="AE66" s="526"/>
      <c r="AF66" s="526"/>
      <c r="AG66" s="526"/>
      <c r="AH66" s="526"/>
      <c r="AI66" s="526"/>
      <c r="AJ66" s="212"/>
      <c r="AK66" s="212"/>
      <c r="AL66" s="212"/>
      <c r="AM66" s="213"/>
      <c r="AN66" s="203"/>
    </row>
    <row r="67" spans="1:40">
      <c r="A67" s="200" t="s">
        <v>174</v>
      </c>
      <c r="B67" s="543">
        <f>AJ74</f>
        <v>59.68</v>
      </c>
      <c r="C67" s="530"/>
      <c r="D67" s="200" t="s">
        <v>148</v>
      </c>
      <c r="E67" s="214" t="s">
        <v>175</v>
      </c>
      <c r="F67" s="205"/>
      <c r="G67" s="543">
        <f>AK74</f>
        <v>5.5</v>
      </c>
      <c r="H67" s="543"/>
      <c r="I67" s="200" t="s">
        <v>148</v>
      </c>
      <c r="J67" s="214"/>
      <c r="K67" s="199"/>
      <c r="L67" s="199"/>
      <c r="N67" s="198"/>
      <c r="P67" s="199"/>
      <c r="AJ67" s="201"/>
      <c r="AK67" s="201"/>
      <c r="AL67" s="201"/>
      <c r="AM67" s="201"/>
      <c r="AN67" s="203"/>
    </row>
    <row r="68" spans="1:40">
      <c r="A68" s="200" t="s">
        <v>174</v>
      </c>
      <c r="B68" s="532">
        <f>B67*G67</f>
        <v>328.24</v>
      </c>
      <c r="C68" s="532"/>
      <c r="D68" s="532"/>
      <c r="E68" s="206" t="s">
        <v>85</v>
      </c>
      <c r="AJ68" s="201"/>
      <c r="AK68" s="202"/>
      <c r="AL68" s="202"/>
      <c r="AM68" s="203"/>
      <c r="AN68" s="203"/>
    </row>
    <row r="69" spans="1:40">
      <c r="F69" s="216"/>
      <c r="G69" s="216"/>
      <c r="N69" s="200"/>
      <c r="O69" s="200"/>
      <c r="S69" s="200"/>
      <c r="AJ69" s="201"/>
      <c r="AK69" s="202"/>
      <c r="AL69" s="202"/>
      <c r="AM69" s="203"/>
      <c r="AN69" s="203"/>
    </row>
    <row r="70" spans="1:40" ht="16.5" customHeight="1">
      <c r="A70" s="544" t="s">
        <v>372</v>
      </c>
      <c r="B70" s="544"/>
      <c r="C70" s="544"/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  <c r="Q70" s="544"/>
      <c r="R70" s="544"/>
      <c r="S70" s="544"/>
      <c r="T70" s="544"/>
      <c r="U70" s="544"/>
      <c r="V70" s="544"/>
      <c r="W70" s="544"/>
      <c r="X70" s="544"/>
      <c r="Y70" s="544"/>
      <c r="Z70" s="544"/>
      <c r="AA70" s="544"/>
      <c r="AB70" s="544"/>
      <c r="AC70" s="544"/>
      <c r="AD70" s="544"/>
      <c r="AE70" s="544"/>
      <c r="AF70" s="544"/>
      <c r="AG70" s="544"/>
      <c r="AH70" s="544"/>
      <c r="AI70" s="544"/>
      <c r="AJ70" s="201"/>
      <c r="AK70" s="202"/>
      <c r="AL70" s="202"/>
      <c r="AM70" s="203" t="s">
        <v>240</v>
      </c>
      <c r="AN70" s="203"/>
    </row>
    <row r="71" spans="1:40">
      <c r="AJ71" s="201"/>
      <c r="AK71" s="202"/>
      <c r="AL71" s="202"/>
      <c r="AM71" s="203">
        <v>3</v>
      </c>
      <c r="AN71" s="203"/>
    </row>
    <row r="72" spans="1:40">
      <c r="A72" s="530" t="s">
        <v>241</v>
      </c>
      <c r="B72" s="530"/>
      <c r="C72" s="530"/>
      <c r="D72" s="530"/>
      <c r="E72" s="530"/>
      <c r="F72" s="530"/>
      <c r="G72" s="530"/>
      <c r="H72" s="530"/>
      <c r="I72" s="530"/>
      <c r="J72" s="530"/>
      <c r="K72" s="530"/>
      <c r="L72" s="530"/>
      <c r="M72" s="530"/>
      <c r="N72" s="530"/>
      <c r="O72" s="530"/>
      <c r="P72" s="530"/>
      <c r="Q72" s="530"/>
      <c r="R72" s="530"/>
      <c r="S72" s="530"/>
      <c r="T72" s="530"/>
      <c r="U72" s="530"/>
      <c r="V72" s="530"/>
      <c r="W72" s="530"/>
      <c r="X72" s="530"/>
      <c r="Y72" s="530"/>
      <c r="Z72" s="530"/>
      <c r="AA72" s="530"/>
      <c r="AB72" s="530"/>
      <c r="AC72" s="530"/>
      <c r="AD72" s="530"/>
      <c r="AE72" s="530"/>
      <c r="AF72" s="530"/>
      <c r="AG72" s="530"/>
      <c r="AH72" s="530"/>
      <c r="AI72" s="530"/>
      <c r="AJ72" s="201"/>
      <c r="AK72" s="202"/>
      <c r="AL72" s="202"/>
      <c r="AM72" s="203"/>
      <c r="AN72" s="203"/>
    </row>
    <row r="73" spans="1:40">
      <c r="AJ73" s="212" t="s">
        <v>181</v>
      </c>
      <c r="AK73" s="212" t="s">
        <v>182</v>
      </c>
      <c r="AL73" s="212" t="s">
        <v>183</v>
      </c>
      <c r="AM73" s="213" t="s">
        <v>184</v>
      </c>
      <c r="AN73" s="203"/>
    </row>
    <row r="74" spans="1:40">
      <c r="A74" s="200" t="s">
        <v>174</v>
      </c>
      <c r="B74" s="543">
        <f>AJ74</f>
        <v>59.68</v>
      </c>
      <c r="C74" s="543"/>
      <c r="D74" s="200" t="s">
        <v>148</v>
      </c>
      <c r="E74" s="214" t="s">
        <v>175</v>
      </c>
      <c r="F74" s="205"/>
      <c r="G74" s="543">
        <f>AK74</f>
        <v>5.5</v>
      </c>
      <c r="H74" s="543"/>
      <c r="I74" s="200" t="s">
        <v>148</v>
      </c>
      <c r="J74" s="214"/>
      <c r="K74" s="543"/>
      <c r="L74" s="543"/>
      <c r="N74" s="198"/>
      <c r="O74" s="543"/>
      <c r="P74" s="543"/>
      <c r="AJ74" s="201">
        <v>59.68</v>
      </c>
      <c r="AK74" s="201">
        <v>5.5</v>
      </c>
      <c r="AL74" s="201">
        <v>1.35</v>
      </c>
      <c r="AM74" s="201">
        <v>1.35</v>
      </c>
      <c r="AN74" s="203"/>
    </row>
    <row r="75" spans="1:40">
      <c r="A75" s="200" t="s">
        <v>174</v>
      </c>
      <c r="B75" s="532">
        <f>AJ74*AK74</f>
        <v>328.24</v>
      </c>
      <c r="C75" s="532"/>
      <c r="D75" s="532"/>
      <c r="E75" s="206" t="s">
        <v>85</v>
      </c>
      <c r="AJ75" s="201"/>
      <c r="AK75" s="202"/>
      <c r="AL75" s="202"/>
      <c r="AM75" s="203"/>
      <c r="AN75" s="203"/>
    </row>
    <row r="76" spans="1:40">
      <c r="AJ76" s="201"/>
      <c r="AK76" s="202"/>
      <c r="AL76" s="202"/>
      <c r="AM76" s="203"/>
      <c r="AN76" s="203"/>
    </row>
    <row r="77" spans="1:40" ht="30" customHeight="1">
      <c r="A77" s="544" t="s">
        <v>433</v>
      </c>
      <c r="B77" s="544"/>
      <c r="C77" s="544"/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  <c r="R77" s="544"/>
      <c r="S77" s="544"/>
      <c r="T77" s="544"/>
      <c r="U77" s="544"/>
      <c r="V77" s="544"/>
      <c r="W77" s="544"/>
      <c r="X77" s="544"/>
      <c r="Y77" s="544"/>
      <c r="Z77" s="544"/>
      <c r="AA77" s="544"/>
      <c r="AB77" s="544"/>
      <c r="AC77" s="544"/>
      <c r="AD77" s="544"/>
      <c r="AE77" s="544"/>
      <c r="AF77" s="544"/>
      <c r="AG77" s="544"/>
      <c r="AH77" s="544"/>
      <c r="AI77" s="544"/>
      <c r="AJ77" s="201"/>
      <c r="AK77" s="202"/>
      <c r="AL77" s="202"/>
      <c r="AM77" s="203"/>
      <c r="AN77" s="203"/>
    </row>
    <row r="78" spans="1:40">
      <c r="AJ78" s="201"/>
      <c r="AK78" s="202"/>
      <c r="AL78" s="202"/>
      <c r="AM78" s="203"/>
      <c r="AN78" s="203"/>
    </row>
    <row r="79" spans="1:40">
      <c r="A79" s="530" t="s">
        <v>242</v>
      </c>
      <c r="B79" s="530"/>
      <c r="C79" s="530"/>
      <c r="D79" s="530"/>
      <c r="E79" s="530"/>
      <c r="F79" s="530"/>
      <c r="G79" s="530"/>
      <c r="H79" s="530"/>
      <c r="I79" s="530"/>
      <c r="J79" s="530"/>
      <c r="K79" s="530"/>
      <c r="L79" s="530"/>
      <c r="M79" s="530"/>
      <c r="N79" s="530"/>
      <c r="O79" s="530"/>
      <c r="P79" s="530"/>
      <c r="Q79" s="530"/>
      <c r="R79" s="530"/>
      <c r="S79" s="530"/>
      <c r="T79" s="530"/>
      <c r="U79" s="530"/>
      <c r="V79" s="530"/>
      <c r="W79" s="530"/>
      <c r="X79" s="530"/>
      <c r="Y79" s="530"/>
      <c r="Z79" s="530"/>
      <c r="AA79" s="530"/>
      <c r="AB79" s="530"/>
      <c r="AC79" s="530"/>
      <c r="AD79" s="530"/>
      <c r="AE79" s="530"/>
      <c r="AF79" s="530"/>
      <c r="AG79" s="530"/>
      <c r="AH79" s="530"/>
      <c r="AI79" s="530"/>
      <c r="AJ79" s="201"/>
      <c r="AK79" s="202"/>
      <c r="AL79" s="202"/>
      <c r="AM79" s="203"/>
      <c r="AN79" s="203"/>
    </row>
    <row r="80" spans="1:40">
      <c r="A80" s="530" t="s">
        <v>243</v>
      </c>
      <c r="B80" s="530"/>
      <c r="C80" s="530"/>
      <c r="D80" s="530"/>
      <c r="E80" s="530"/>
      <c r="F80" s="530"/>
      <c r="G80" s="530"/>
      <c r="H80" s="530"/>
      <c r="I80" s="530"/>
      <c r="J80" s="530"/>
      <c r="K80" s="530"/>
      <c r="L80" s="530"/>
      <c r="M80" s="530"/>
      <c r="N80" s="530"/>
      <c r="O80" s="530"/>
      <c r="P80" s="530"/>
      <c r="Q80" s="530"/>
      <c r="R80" s="530"/>
      <c r="S80" s="530"/>
      <c r="T80" s="530"/>
      <c r="U80" s="530"/>
      <c r="V80" s="530"/>
      <c r="W80" s="530"/>
      <c r="X80" s="530"/>
      <c r="Y80" s="530"/>
      <c r="Z80" s="530"/>
      <c r="AA80" s="530"/>
      <c r="AB80" s="530"/>
      <c r="AC80" s="530"/>
      <c r="AD80" s="530"/>
      <c r="AE80" s="530"/>
      <c r="AF80" s="530"/>
      <c r="AG80" s="530"/>
      <c r="AH80" s="530"/>
      <c r="AI80" s="530"/>
      <c r="AJ80" s="201"/>
      <c r="AK80" s="202"/>
      <c r="AL80" s="202"/>
      <c r="AM80" s="203"/>
      <c r="AN80" s="203"/>
    </row>
    <row r="81" spans="1:40">
      <c r="AJ81" s="561"/>
      <c r="AK81" s="561"/>
      <c r="AL81" s="202"/>
      <c r="AM81" s="548"/>
      <c r="AN81" s="548"/>
    </row>
    <row r="82" spans="1:40">
      <c r="A82" s="526" t="s">
        <v>188</v>
      </c>
      <c r="B82" s="526"/>
      <c r="C82" s="526"/>
      <c r="D82" s="526"/>
      <c r="F82" s="531">
        <v>60.03</v>
      </c>
      <c r="G82" s="531"/>
      <c r="H82" s="200" t="s">
        <v>148</v>
      </c>
      <c r="AJ82" s="201"/>
      <c r="AK82" s="202"/>
      <c r="AL82" s="202"/>
      <c r="AM82" s="203"/>
      <c r="AN82" s="203"/>
    </row>
    <row r="83" spans="1:40">
      <c r="A83" s="526" t="s">
        <v>189</v>
      </c>
      <c r="B83" s="526"/>
      <c r="C83" s="526"/>
      <c r="D83" s="526"/>
      <c r="F83" s="531">
        <v>59.59</v>
      </c>
      <c r="G83" s="531"/>
      <c r="H83" s="200" t="s">
        <v>148</v>
      </c>
      <c r="AJ83" s="201"/>
      <c r="AK83" s="202"/>
      <c r="AL83" s="202"/>
      <c r="AM83" s="203"/>
      <c r="AN83" s="203"/>
    </row>
    <row r="84" spans="1:40">
      <c r="A84" s="215"/>
      <c r="B84" s="215"/>
      <c r="C84" s="215"/>
      <c r="D84" s="215"/>
      <c r="F84" s="216"/>
      <c r="G84" s="216"/>
      <c r="AJ84" s="201"/>
      <c r="AK84" s="202"/>
      <c r="AL84" s="202"/>
      <c r="AM84" s="203"/>
      <c r="AN84" s="203"/>
    </row>
    <row r="85" spans="1:40">
      <c r="A85" s="215" t="s">
        <v>185</v>
      </c>
      <c r="B85" s="215"/>
      <c r="C85" s="215"/>
      <c r="D85" s="215"/>
      <c r="F85" s="527">
        <f>SUM(F82:G83)</f>
        <v>119.62</v>
      </c>
      <c r="G85" s="527"/>
      <c r="H85" s="200" t="s">
        <v>148</v>
      </c>
      <c r="AJ85" s="201"/>
      <c r="AK85" s="202"/>
      <c r="AL85" s="202"/>
      <c r="AM85" s="203"/>
      <c r="AN85" s="203"/>
    </row>
    <row r="86" spans="1:40">
      <c r="A86" s="215"/>
      <c r="B86" s="215"/>
      <c r="C86" s="215"/>
      <c r="D86" s="215"/>
      <c r="F86" s="531"/>
      <c r="G86" s="531"/>
      <c r="AJ86" s="201"/>
      <c r="AK86" s="202"/>
      <c r="AL86" s="202"/>
      <c r="AM86" s="203"/>
      <c r="AN86" s="203"/>
    </row>
    <row r="87" spans="1:40" ht="15" hidden="1">
      <c r="A87" s="542" t="s">
        <v>422</v>
      </c>
      <c r="B87" s="542"/>
      <c r="C87" s="542"/>
      <c r="D87" s="542"/>
      <c r="E87" s="542"/>
      <c r="F87" s="542"/>
      <c r="G87" s="542"/>
      <c r="H87" s="542"/>
      <c r="I87" s="542"/>
      <c r="J87" s="542"/>
      <c r="K87" s="542"/>
      <c r="L87" s="542"/>
      <c r="M87" s="542"/>
      <c r="N87" s="542"/>
      <c r="O87" s="542"/>
      <c r="P87" s="542"/>
      <c r="Q87" s="542"/>
      <c r="R87" s="542"/>
      <c r="S87" s="542"/>
      <c r="T87" s="542"/>
      <c r="U87" s="542"/>
      <c r="V87" s="542"/>
      <c r="W87" s="542"/>
      <c r="X87" s="542"/>
      <c r="Y87" s="542"/>
      <c r="Z87" s="542"/>
      <c r="AA87" s="542"/>
      <c r="AB87" s="542"/>
      <c r="AC87" s="542"/>
      <c r="AD87" s="542"/>
      <c r="AE87" s="542"/>
      <c r="AF87" s="542"/>
      <c r="AG87" s="542"/>
      <c r="AH87" s="542"/>
      <c r="AI87" s="542"/>
      <c r="AJ87" s="201"/>
      <c r="AK87" s="202"/>
      <c r="AL87" s="202"/>
      <c r="AM87" s="203"/>
      <c r="AN87" s="203"/>
    </row>
    <row r="88" spans="1:40" hidden="1">
      <c r="AJ88" s="201"/>
      <c r="AK88" s="202"/>
      <c r="AL88" s="202"/>
      <c r="AM88" s="203"/>
      <c r="AN88" s="203"/>
    </row>
    <row r="89" spans="1:40" hidden="1">
      <c r="A89" s="530" t="s">
        <v>192</v>
      </c>
      <c r="B89" s="530"/>
      <c r="C89" s="530"/>
      <c r="D89" s="530"/>
      <c r="E89" s="530"/>
      <c r="F89" s="530"/>
      <c r="G89" s="530"/>
      <c r="H89" s="530"/>
      <c r="I89" s="530"/>
      <c r="J89" s="530"/>
      <c r="K89" s="530"/>
      <c r="L89" s="530"/>
      <c r="M89" s="530"/>
      <c r="N89" s="530"/>
      <c r="O89" s="530"/>
      <c r="P89" s="530"/>
      <c r="Q89" s="530"/>
      <c r="R89" s="530"/>
      <c r="S89" s="530"/>
      <c r="T89" s="530"/>
      <c r="U89" s="530"/>
      <c r="V89" s="530"/>
      <c r="W89" s="530"/>
      <c r="X89" s="530"/>
      <c r="Y89" s="530"/>
      <c r="Z89" s="530"/>
      <c r="AA89" s="530"/>
      <c r="AB89" s="530"/>
      <c r="AC89" s="530"/>
      <c r="AD89" s="530"/>
      <c r="AE89" s="530"/>
      <c r="AF89" s="530"/>
      <c r="AG89" s="530"/>
      <c r="AH89" s="530"/>
      <c r="AI89" s="530"/>
      <c r="AJ89" s="548" t="s">
        <v>193</v>
      </c>
      <c r="AK89" s="548"/>
      <c r="AL89" s="202"/>
      <c r="AM89" s="203"/>
      <c r="AN89" s="203"/>
    </row>
    <row r="90" spans="1:40" hidden="1">
      <c r="AJ90" s="202">
        <v>0</v>
      </c>
      <c r="AK90" s="203"/>
      <c r="AL90" s="202"/>
      <c r="AM90" s="203"/>
      <c r="AN90" s="203"/>
    </row>
    <row r="91" spans="1:40" hidden="1">
      <c r="A91" s="200" t="s">
        <v>174</v>
      </c>
      <c r="B91" s="543">
        <f>AK74</f>
        <v>5.5</v>
      </c>
      <c r="C91" s="543"/>
      <c r="D91" s="543"/>
      <c r="E91" s="200" t="s">
        <v>148</v>
      </c>
      <c r="F91" s="214" t="s">
        <v>175</v>
      </c>
      <c r="G91" s="543">
        <f>AJ90</f>
        <v>0</v>
      </c>
      <c r="H91" s="543"/>
      <c r="I91" s="200" t="s">
        <v>358</v>
      </c>
      <c r="J91" s="214"/>
      <c r="M91" s="199"/>
      <c r="P91" s="199"/>
      <c r="Q91" s="199"/>
      <c r="T91" s="199"/>
      <c r="AJ91" s="201"/>
      <c r="AK91" s="202"/>
      <c r="AL91" s="202"/>
      <c r="AM91" s="203"/>
      <c r="AN91" s="203"/>
    </row>
    <row r="92" spans="1:40" hidden="1">
      <c r="A92" s="200" t="s">
        <v>174</v>
      </c>
      <c r="B92" s="543">
        <f>B91*G91+K91</f>
        <v>0</v>
      </c>
      <c r="C92" s="543"/>
      <c r="D92" s="543"/>
      <c r="E92" s="200" t="s">
        <v>148</v>
      </c>
      <c r="AJ92" s="201"/>
      <c r="AK92" s="202"/>
      <c r="AL92" s="202"/>
      <c r="AM92" s="203"/>
      <c r="AN92" s="203"/>
    </row>
    <row r="93" spans="1:40" hidden="1">
      <c r="AJ93" s="201"/>
      <c r="AK93" s="202"/>
      <c r="AL93" s="202"/>
      <c r="AM93" s="203"/>
      <c r="AN93" s="203"/>
    </row>
    <row r="94" spans="1:40" ht="15">
      <c r="A94" s="542" t="s">
        <v>423</v>
      </c>
      <c r="B94" s="542"/>
      <c r="C94" s="542"/>
      <c r="D94" s="542"/>
      <c r="E94" s="542"/>
      <c r="F94" s="542"/>
      <c r="G94" s="542"/>
      <c r="H94" s="542"/>
      <c r="I94" s="542"/>
      <c r="J94" s="542"/>
      <c r="K94" s="542"/>
      <c r="L94" s="542"/>
      <c r="M94" s="542"/>
      <c r="N94" s="542"/>
      <c r="O94" s="542"/>
      <c r="P94" s="542"/>
      <c r="Q94" s="542"/>
      <c r="R94" s="542"/>
      <c r="S94" s="542"/>
      <c r="T94" s="542"/>
      <c r="U94" s="542"/>
      <c r="V94" s="542"/>
      <c r="W94" s="542"/>
      <c r="X94" s="542"/>
      <c r="Y94" s="542"/>
      <c r="Z94" s="542"/>
      <c r="AA94" s="542"/>
      <c r="AB94" s="542"/>
      <c r="AC94" s="542"/>
      <c r="AD94" s="542"/>
      <c r="AE94" s="542"/>
      <c r="AF94" s="542"/>
      <c r="AG94" s="542"/>
      <c r="AH94" s="542"/>
      <c r="AI94" s="542"/>
      <c r="AJ94" s="201"/>
      <c r="AK94" s="202"/>
      <c r="AL94" s="202"/>
      <c r="AM94" s="203"/>
      <c r="AN94" s="203"/>
    </row>
    <row r="95" spans="1:40">
      <c r="AJ95" s="201"/>
      <c r="AK95" s="202"/>
      <c r="AL95" s="202"/>
      <c r="AM95" s="203"/>
      <c r="AN95" s="203"/>
    </row>
    <row r="96" spans="1:40">
      <c r="A96" s="530" t="s">
        <v>244</v>
      </c>
      <c r="B96" s="530"/>
      <c r="C96" s="530"/>
      <c r="D96" s="530"/>
      <c r="E96" s="530"/>
      <c r="F96" s="530"/>
      <c r="G96" s="530"/>
      <c r="H96" s="530"/>
      <c r="I96" s="530"/>
      <c r="J96" s="530"/>
      <c r="K96" s="530"/>
      <c r="L96" s="530"/>
      <c r="M96" s="530"/>
      <c r="N96" s="530"/>
      <c r="O96" s="530"/>
      <c r="P96" s="530"/>
      <c r="Q96" s="530"/>
      <c r="R96" s="530"/>
      <c r="S96" s="530"/>
      <c r="T96" s="530"/>
      <c r="U96" s="530"/>
      <c r="V96" s="530"/>
      <c r="W96" s="530"/>
      <c r="X96" s="530"/>
      <c r="Y96" s="530"/>
      <c r="Z96" s="530"/>
      <c r="AA96" s="530"/>
      <c r="AB96" s="530"/>
      <c r="AC96" s="530"/>
      <c r="AD96" s="530"/>
      <c r="AE96" s="530"/>
      <c r="AF96" s="530"/>
      <c r="AG96" s="530"/>
      <c r="AH96" s="530"/>
      <c r="AI96" s="530"/>
      <c r="AJ96" s="201"/>
      <c r="AK96" s="202"/>
      <c r="AL96" s="202"/>
      <c r="AM96" s="203"/>
      <c r="AN96" s="203"/>
    </row>
    <row r="97" spans="1:40">
      <c r="A97" s="530" t="s">
        <v>245</v>
      </c>
      <c r="B97" s="530"/>
      <c r="C97" s="530"/>
      <c r="D97" s="530"/>
      <c r="E97" s="530"/>
      <c r="F97" s="530"/>
      <c r="G97" s="530"/>
      <c r="H97" s="530"/>
      <c r="I97" s="530"/>
      <c r="J97" s="530"/>
      <c r="K97" s="530"/>
      <c r="L97" s="530"/>
      <c r="M97" s="530"/>
      <c r="N97" s="530"/>
      <c r="O97" s="530"/>
      <c r="P97" s="530"/>
      <c r="Q97" s="530"/>
      <c r="R97" s="530"/>
      <c r="S97" s="530"/>
      <c r="T97" s="530"/>
      <c r="U97" s="530"/>
      <c r="V97" s="530"/>
      <c r="W97" s="530"/>
      <c r="X97" s="530"/>
      <c r="Y97" s="530"/>
      <c r="Z97" s="530"/>
      <c r="AA97" s="530"/>
      <c r="AB97" s="530"/>
      <c r="AC97" s="530"/>
      <c r="AD97" s="530"/>
      <c r="AE97" s="530"/>
      <c r="AF97" s="530"/>
      <c r="AG97" s="530"/>
      <c r="AH97" s="530"/>
      <c r="AI97" s="530"/>
      <c r="AJ97" s="201"/>
      <c r="AK97" s="202"/>
      <c r="AL97" s="202"/>
      <c r="AM97" s="203"/>
      <c r="AN97" s="203"/>
    </row>
    <row r="98" spans="1:40">
      <c r="AJ98" s="201"/>
      <c r="AK98" s="202"/>
      <c r="AL98" s="202"/>
      <c r="AM98" s="203"/>
      <c r="AN98" s="203"/>
    </row>
    <row r="99" spans="1:40" ht="30" customHeight="1">
      <c r="A99" s="538" t="s">
        <v>195</v>
      </c>
      <c r="B99" s="538"/>
      <c r="C99" s="538"/>
      <c r="D99" s="538"/>
      <c r="E99" s="538"/>
      <c r="F99" s="538"/>
      <c r="G99" s="538"/>
      <c r="H99" s="538"/>
      <c r="I99" s="538"/>
      <c r="J99" s="538"/>
      <c r="K99" s="538"/>
      <c r="L99" s="538"/>
      <c r="M99" s="538"/>
      <c r="N99" s="538"/>
      <c r="O99" s="538"/>
      <c r="P99" s="538"/>
      <c r="Q99" s="538"/>
      <c r="R99" s="538"/>
      <c r="S99" s="538"/>
      <c r="T99" s="538"/>
      <c r="U99" s="538"/>
      <c r="V99" s="538"/>
      <c r="W99" s="538"/>
      <c r="X99" s="538"/>
      <c r="Y99" s="538"/>
      <c r="Z99" s="538"/>
      <c r="AA99" s="538"/>
      <c r="AB99" s="538"/>
      <c r="AC99" s="538"/>
      <c r="AD99" s="538"/>
      <c r="AE99" s="538"/>
      <c r="AF99" s="538"/>
      <c r="AG99" s="538"/>
      <c r="AH99" s="538"/>
      <c r="AI99" s="538"/>
      <c r="AJ99" s="201"/>
      <c r="AK99" s="202"/>
      <c r="AL99" s="202"/>
      <c r="AM99" s="203"/>
      <c r="AN99" s="203"/>
    </row>
    <row r="100" spans="1:40">
      <c r="AJ100" s="201"/>
      <c r="AK100" s="202"/>
      <c r="AL100" s="202"/>
      <c r="AM100" s="203"/>
      <c r="AN100" s="203"/>
    </row>
    <row r="101" spans="1:40">
      <c r="A101" s="526" t="s">
        <v>188</v>
      </c>
      <c r="B101" s="526"/>
      <c r="C101" s="526"/>
      <c r="D101" s="526"/>
      <c r="F101" s="531">
        <f>F82</f>
        <v>60.03</v>
      </c>
      <c r="G101" s="531"/>
      <c r="H101" s="526" t="s">
        <v>196</v>
      </c>
      <c r="I101" s="526"/>
      <c r="J101" s="531">
        <v>1</v>
      </c>
      <c r="K101" s="531"/>
      <c r="L101" s="526" t="s">
        <v>197</v>
      </c>
      <c r="M101" s="526"/>
      <c r="N101" s="532">
        <f>F101*J101</f>
        <v>60.03</v>
      </c>
      <c r="O101" s="532"/>
      <c r="P101" s="200" t="s">
        <v>148</v>
      </c>
      <c r="AJ101" s="201"/>
      <c r="AK101" s="202"/>
      <c r="AL101" s="202"/>
      <c r="AM101" s="203"/>
      <c r="AN101" s="203"/>
    </row>
    <row r="102" spans="1:40">
      <c r="A102" s="526" t="s">
        <v>189</v>
      </c>
      <c r="B102" s="526"/>
      <c r="C102" s="526"/>
      <c r="D102" s="526"/>
      <c r="F102" s="531">
        <f>F83</f>
        <v>59.59</v>
      </c>
      <c r="G102" s="531"/>
      <c r="H102" s="526" t="s">
        <v>196</v>
      </c>
      <c r="I102" s="526"/>
      <c r="J102" s="531">
        <v>1</v>
      </c>
      <c r="K102" s="531"/>
      <c r="L102" s="526" t="s">
        <v>197</v>
      </c>
      <c r="M102" s="526"/>
      <c r="N102" s="532">
        <f>F102*J102</f>
        <v>59.59</v>
      </c>
      <c r="O102" s="532"/>
      <c r="P102" s="200" t="s">
        <v>148</v>
      </c>
      <c r="AJ102" s="201"/>
      <c r="AK102" s="202"/>
      <c r="AL102" s="202"/>
      <c r="AM102" s="203"/>
      <c r="AN102" s="203"/>
    </row>
    <row r="103" spans="1:40">
      <c r="A103" s="526"/>
      <c r="B103" s="526"/>
      <c r="C103" s="526"/>
      <c r="D103" s="526"/>
      <c r="F103" s="531"/>
      <c r="G103" s="531"/>
      <c r="H103" s="526"/>
      <c r="I103" s="526"/>
      <c r="J103" s="531"/>
      <c r="K103" s="531"/>
      <c r="L103" s="526"/>
      <c r="M103" s="526"/>
      <c r="N103" s="532"/>
      <c r="O103" s="532"/>
      <c r="AJ103" s="201"/>
      <c r="AK103" s="202"/>
      <c r="AL103" s="202"/>
      <c r="AM103" s="203"/>
      <c r="AN103" s="203"/>
    </row>
    <row r="104" spans="1:40">
      <c r="A104" s="200" t="s">
        <v>185</v>
      </c>
      <c r="C104" s="531">
        <f>SUM(N101:O103)</f>
        <v>119.62</v>
      </c>
      <c r="D104" s="533"/>
      <c r="E104" s="526" t="s">
        <v>196</v>
      </c>
      <c r="F104" s="526"/>
      <c r="G104" s="532">
        <f>AL74</f>
        <v>1.35</v>
      </c>
      <c r="H104" s="533"/>
      <c r="I104" s="526" t="s">
        <v>198</v>
      </c>
      <c r="J104" s="526"/>
      <c r="K104" s="525">
        <f>C104*G104</f>
        <v>161.49</v>
      </c>
      <c r="L104" s="525"/>
      <c r="M104" s="200" t="s">
        <v>85</v>
      </c>
      <c r="N104" s="204"/>
      <c r="O104" s="204"/>
      <c r="AJ104" s="201"/>
      <c r="AK104" s="202"/>
      <c r="AL104" s="202"/>
      <c r="AM104" s="203"/>
      <c r="AN104" s="203"/>
    </row>
    <row r="105" spans="1:40">
      <c r="F105" s="216"/>
      <c r="G105" s="216"/>
      <c r="H105" s="215"/>
      <c r="I105" s="215"/>
      <c r="J105" s="216"/>
      <c r="K105" s="216"/>
      <c r="L105" s="215"/>
      <c r="M105" s="215"/>
      <c r="N105" s="204"/>
      <c r="O105" s="204"/>
      <c r="AJ105" s="201"/>
      <c r="AK105" s="202"/>
      <c r="AL105" s="202"/>
      <c r="AM105" s="203"/>
      <c r="AN105" s="203"/>
    </row>
    <row r="106" spans="1:40">
      <c r="A106" s="200" t="s">
        <v>199</v>
      </c>
      <c r="E106" s="205"/>
      <c r="F106" s="205"/>
      <c r="H106" s="216"/>
      <c r="I106" s="216"/>
      <c r="J106" s="215"/>
      <c r="K106" s="215"/>
      <c r="L106" s="216"/>
      <c r="M106" s="216"/>
      <c r="AJ106" s="201"/>
      <c r="AK106" s="202"/>
      <c r="AL106" s="202"/>
      <c r="AM106" s="203"/>
      <c r="AN106" s="203"/>
    </row>
    <row r="107" spans="1:40">
      <c r="A107" s="526" t="s">
        <v>200</v>
      </c>
      <c r="B107" s="526"/>
      <c r="C107" s="526"/>
      <c r="D107" s="526"/>
      <c r="F107" s="531">
        <f>C134</f>
        <v>21.91</v>
      </c>
      <c r="G107" s="531"/>
      <c r="H107" s="526" t="s">
        <v>85</v>
      </c>
      <c r="I107" s="526"/>
      <c r="J107" s="531"/>
      <c r="K107" s="531"/>
      <c r="L107" s="526"/>
      <c r="M107" s="526"/>
      <c r="N107" s="532"/>
      <c r="O107" s="532"/>
      <c r="AJ107" s="201"/>
      <c r="AK107" s="202"/>
      <c r="AL107" s="202"/>
      <c r="AM107" s="203"/>
      <c r="AN107" s="203"/>
    </row>
    <row r="108" spans="1:40">
      <c r="A108" s="200" t="s">
        <v>201</v>
      </c>
      <c r="F108" s="531">
        <v>8.5</v>
      </c>
      <c r="G108" s="531"/>
      <c r="H108" s="526" t="s">
        <v>196</v>
      </c>
      <c r="I108" s="526"/>
      <c r="J108" s="531">
        <f>B116</f>
        <v>4</v>
      </c>
      <c r="K108" s="531"/>
      <c r="L108" s="526" t="s">
        <v>202</v>
      </c>
      <c r="M108" s="526"/>
      <c r="N108" s="532">
        <f>G104</f>
        <v>1.35</v>
      </c>
      <c r="O108" s="532"/>
      <c r="P108" s="200" t="s">
        <v>203</v>
      </c>
      <c r="Q108" s="527">
        <f>F108*J108*N108</f>
        <v>45.9</v>
      </c>
      <c r="R108" s="527"/>
      <c r="S108" s="199" t="s">
        <v>85</v>
      </c>
      <c r="AJ108" s="201"/>
      <c r="AK108" s="202"/>
      <c r="AL108" s="202"/>
      <c r="AM108" s="203"/>
      <c r="AN108" s="203"/>
    </row>
    <row r="109" spans="1:40">
      <c r="A109" s="200" t="s">
        <v>204</v>
      </c>
      <c r="F109" s="531">
        <f>K104</f>
        <v>161.49</v>
      </c>
      <c r="G109" s="533"/>
      <c r="H109" s="526" t="s">
        <v>205</v>
      </c>
      <c r="I109" s="526"/>
      <c r="J109" s="531">
        <f>SUM(F107,Q108)</f>
        <v>67.81</v>
      </c>
      <c r="K109" s="533"/>
      <c r="L109" s="526" t="s">
        <v>206</v>
      </c>
      <c r="M109" s="526"/>
      <c r="N109" s="525">
        <f>F109-J109</f>
        <v>93.68</v>
      </c>
      <c r="O109" s="525"/>
      <c r="P109" s="200" t="s">
        <v>85</v>
      </c>
      <c r="AJ109" s="201"/>
      <c r="AK109" s="202"/>
      <c r="AL109" s="202"/>
      <c r="AM109" s="203"/>
      <c r="AN109" s="203"/>
    </row>
    <row r="110" spans="1:40">
      <c r="AJ110" s="201"/>
      <c r="AK110" s="202"/>
      <c r="AL110" s="202"/>
      <c r="AM110" s="203"/>
      <c r="AN110" s="203"/>
    </row>
    <row r="111" spans="1:40">
      <c r="AJ111" s="201"/>
      <c r="AK111" s="202"/>
      <c r="AL111" s="202"/>
      <c r="AM111" s="203"/>
      <c r="AN111" s="203"/>
    </row>
    <row r="112" spans="1:40" ht="30" customHeight="1">
      <c r="A112" s="544" t="s">
        <v>424</v>
      </c>
      <c r="B112" s="544"/>
      <c r="C112" s="544"/>
      <c r="D112" s="544"/>
      <c r="E112" s="544"/>
      <c r="F112" s="544"/>
      <c r="G112" s="544"/>
      <c r="H112" s="544"/>
      <c r="I112" s="544"/>
      <c r="J112" s="544"/>
      <c r="K112" s="544"/>
      <c r="L112" s="544"/>
      <c r="M112" s="544"/>
      <c r="N112" s="544"/>
      <c r="O112" s="544"/>
      <c r="P112" s="544"/>
      <c r="Q112" s="544"/>
      <c r="R112" s="544"/>
      <c r="S112" s="544"/>
      <c r="T112" s="544"/>
      <c r="U112" s="544"/>
      <c r="V112" s="544"/>
      <c r="W112" s="544"/>
      <c r="X112" s="544"/>
      <c r="Y112" s="544"/>
      <c r="Z112" s="544"/>
      <c r="AA112" s="544"/>
      <c r="AB112" s="544"/>
      <c r="AC112" s="544"/>
      <c r="AD112" s="544"/>
      <c r="AE112" s="544"/>
      <c r="AF112" s="544"/>
      <c r="AG112" s="544"/>
      <c r="AH112" s="544"/>
      <c r="AI112" s="544"/>
      <c r="AJ112" s="201"/>
      <c r="AK112" s="202"/>
      <c r="AL112" s="202"/>
      <c r="AM112" s="203"/>
      <c r="AN112" s="203"/>
    </row>
    <row r="113" spans="1:40">
      <c r="AJ113" s="201"/>
      <c r="AK113" s="202"/>
      <c r="AL113" s="202"/>
      <c r="AM113" s="203"/>
      <c r="AN113" s="203"/>
    </row>
    <row r="114" spans="1:40">
      <c r="A114" s="530" t="s">
        <v>207</v>
      </c>
      <c r="B114" s="530"/>
      <c r="C114" s="530"/>
      <c r="D114" s="530"/>
      <c r="E114" s="530"/>
      <c r="F114" s="530"/>
      <c r="G114" s="530"/>
      <c r="H114" s="530"/>
      <c r="I114" s="530"/>
      <c r="J114" s="530"/>
      <c r="K114" s="530"/>
      <c r="L114" s="530"/>
      <c r="M114" s="530"/>
      <c r="N114" s="530"/>
      <c r="O114" s="530"/>
      <c r="P114" s="530"/>
      <c r="Q114" s="530"/>
      <c r="R114" s="530"/>
      <c r="S114" s="530"/>
      <c r="T114" s="530"/>
      <c r="U114" s="530"/>
      <c r="V114" s="530"/>
      <c r="W114" s="530"/>
      <c r="X114" s="530"/>
      <c r="Y114" s="530"/>
      <c r="Z114" s="530"/>
      <c r="AA114" s="530"/>
      <c r="AB114" s="530"/>
      <c r="AC114" s="530"/>
      <c r="AD114" s="530"/>
      <c r="AE114" s="530"/>
      <c r="AF114" s="530"/>
      <c r="AG114" s="530"/>
      <c r="AH114" s="530"/>
      <c r="AI114" s="530"/>
      <c r="AJ114" s="201"/>
      <c r="AK114" s="202"/>
      <c r="AL114" s="202"/>
      <c r="AM114" s="203"/>
      <c r="AN114" s="203"/>
    </row>
    <row r="115" spans="1:40">
      <c r="AJ115" s="201" t="s">
        <v>234</v>
      </c>
      <c r="AK115" s="202"/>
      <c r="AL115" s="202"/>
      <c r="AM115" s="203"/>
      <c r="AN115" s="203"/>
    </row>
    <row r="116" spans="1:40">
      <c r="A116" s="200" t="s">
        <v>179</v>
      </c>
      <c r="B116" s="543">
        <f>AJ116</f>
        <v>4</v>
      </c>
      <c r="C116" s="543"/>
      <c r="D116" s="530" t="s">
        <v>102</v>
      </c>
      <c r="E116" s="530"/>
      <c r="AJ116" s="201">
        <v>4</v>
      </c>
      <c r="AK116" s="202"/>
      <c r="AL116" s="202"/>
      <c r="AM116" s="203"/>
      <c r="AN116" s="203"/>
    </row>
    <row r="117" spans="1:40">
      <c r="AJ117" s="201"/>
      <c r="AK117" s="202"/>
      <c r="AL117" s="202"/>
      <c r="AM117" s="203"/>
      <c r="AN117" s="203"/>
    </row>
    <row r="118" spans="1:40" ht="31.5" customHeight="1">
      <c r="A118" s="544" t="s">
        <v>425</v>
      </c>
      <c r="B118" s="544"/>
      <c r="C118" s="544"/>
      <c r="D118" s="544"/>
      <c r="E118" s="544"/>
      <c r="F118" s="544"/>
      <c r="G118" s="544"/>
      <c r="H118" s="544"/>
      <c r="I118" s="544"/>
      <c r="J118" s="544"/>
      <c r="K118" s="544"/>
      <c r="L118" s="544"/>
      <c r="M118" s="544"/>
      <c r="N118" s="544"/>
      <c r="O118" s="544"/>
      <c r="P118" s="544"/>
      <c r="Q118" s="544"/>
      <c r="R118" s="544"/>
      <c r="S118" s="544"/>
      <c r="T118" s="544"/>
      <c r="U118" s="544"/>
      <c r="V118" s="544"/>
      <c r="W118" s="544"/>
      <c r="X118" s="544"/>
      <c r="Y118" s="544"/>
      <c r="Z118" s="544"/>
      <c r="AA118" s="544"/>
      <c r="AB118" s="544"/>
      <c r="AC118" s="544"/>
      <c r="AD118" s="544"/>
      <c r="AE118" s="544"/>
      <c r="AF118" s="544"/>
      <c r="AG118" s="544"/>
      <c r="AH118" s="544"/>
      <c r="AI118" s="544"/>
      <c r="AJ118" s="201"/>
      <c r="AK118" s="202"/>
      <c r="AL118" s="202"/>
      <c r="AM118" s="203"/>
      <c r="AN118" s="218"/>
    </row>
    <row r="119" spans="1:40">
      <c r="AJ119" s="201"/>
      <c r="AK119" s="202"/>
      <c r="AL119" s="202"/>
      <c r="AM119" s="203"/>
      <c r="AN119" s="203"/>
    </row>
    <row r="120" spans="1:40">
      <c r="A120" s="200" t="s">
        <v>208</v>
      </c>
      <c r="AJ120" s="201"/>
      <c r="AK120" s="202"/>
      <c r="AL120" s="202"/>
      <c r="AM120" s="203"/>
      <c r="AN120" s="203"/>
    </row>
    <row r="121" spans="1:40">
      <c r="AJ121" s="201"/>
      <c r="AK121" s="202"/>
      <c r="AL121" s="202"/>
      <c r="AM121" s="203"/>
      <c r="AN121" s="203"/>
    </row>
    <row r="122" spans="1:40">
      <c r="A122" s="526" t="s">
        <v>188</v>
      </c>
      <c r="B122" s="526"/>
      <c r="C122" s="526"/>
      <c r="D122" s="526"/>
      <c r="F122" s="531">
        <f>F101</f>
        <v>60.03</v>
      </c>
      <c r="G122" s="531"/>
      <c r="H122" s="526" t="s">
        <v>196</v>
      </c>
      <c r="I122" s="526"/>
      <c r="J122" s="531">
        <v>1</v>
      </c>
      <c r="K122" s="531"/>
      <c r="L122" s="526" t="s">
        <v>197</v>
      </c>
      <c r="M122" s="526"/>
      <c r="N122" s="532">
        <f>F122*J122</f>
        <v>60.03</v>
      </c>
      <c r="O122" s="532"/>
      <c r="P122" s="200" t="s">
        <v>148</v>
      </c>
      <c r="AJ122" s="201"/>
      <c r="AK122" s="202"/>
      <c r="AL122" s="202"/>
      <c r="AM122" s="203"/>
      <c r="AN122" s="203"/>
    </row>
    <row r="123" spans="1:40">
      <c r="A123" s="526" t="s">
        <v>189</v>
      </c>
      <c r="B123" s="526"/>
      <c r="C123" s="526"/>
      <c r="D123" s="526"/>
      <c r="F123" s="531">
        <f>F102</f>
        <v>59.59</v>
      </c>
      <c r="G123" s="531"/>
      <c r="H123" s="526" t="s">
        <v>196</v>
      </c>
      <c r="I123" s="526"/>
      <c r="J123" s="531">
        <v>1</v>
      </c>
      <c r="K123" s="531"/>
      <c r="L123" s="526" t="s">
        <v>197</v>
      </c>
      <c r="M123" s="526"/>
      <c r="N123" s="532">
        <f>F123*J123</f>
        <v>59.59</v>
      </c>
      <c r="O123" s="532"/>
      <c r="P123" s="200" t="s">
        <v>148</v>
      </c>
      <c r="AJ123" s="201"/>
      <c r="AK123" s="202"/>
      <c r="AL123" s="202"/>
      <c r="AM123" s="203"/>
      <c r="AN123" s="203"/>
    </row>
    <row r="124" spans="1:40">
      <c r="A124" s="215"/>
      <c r="B124" s="215"/>
      <c r="C124" s="215"/>
      <c r="D124" s="215"/>
      <c r="F124" s="216"/>
      <c r="G124" s="216"/>
      <c r="H124" s="215"/>
      <c r="I124" s="215"/>
      <c r="J124" s="216"/>
      <c r="K124" s="216"/>
      <c r="L124" s="215"/>
      <c r="M124" s="215"/>
      <c r="N124" s="204"/>
      <c r="O124" s="204"/>
      <c r="AJ124" s="201"/>
      <c r="AK124" s="202"/>
      <c r="AL124" s="202"/>
      <c r="AM124" s="203"/>
      <c r="AN124" s="203"/>
    </row>
    <row r="125" spans="1:40">
      <c r="A125" s="200" t="s">
        <v>199</v>
      </c>
      <c r="E125" s="205"/>
      <c r="F125" s="205"/>
      <c r="H125" s="216"/>
      <c r="I125" s="216"/>
      <c r="J125" s="215"/>
      <c r="K125" s="215"/>
      <c r="L125" s="216"/>
      <c r="M125" s="216"/>
      <c r="AJ125" s="201"/>
      <c r="AK125" s="202"/>
      <c r="AL125" s="202"/>
      <c r="AM125" s="203"/>
      <c r="AN125" s="203"/>
    </row>
    <row r="126" spans="1:40">
      <c r="A126" s="526" t="s">
        <v>201</v>
      </c>
      <c r="B126" s="526"/>
      <c r="C126" s="526"/>
      <c r="D126" s="526"/>
      <c r="F126" s="531">
        <v>8.5</v>
      </c>
      <c r="G126" s="531"/>
      <c r="H126" s="526" t="s">
        <v>196</v>
      </c>
      <c r="I126" s="526"/>
      <c r="J126" s="531">
        <f>B116</f>
        <v>4</v>
      </c>
      <c r="K126" s="531"/>
      <c r="L126" s="526" t="s">
        <v>197</v>
      </c>
      <c r="M126" s="526"/>
      <c r="N126" s="532">
        <f>F126*J126</f>
        <v>34</v>
      </c>
      <c r="O126" s="532"/>
      <c r="P126" s="200" t="s">
        <v>148</v>
      </c>
      <c r="AJ126" s="201"/>
      <c r="AK126" s="202"/>
      <c r="AL126" s="202"/>
      <c r="AM126" s="203"/>
      <c r="AN126" s="203"/>
    </row>
    <row r="127" spans="1:40">
      <c r="A127" s="526" t="s">
        <v>209</v>
      </c>
      <c r="B127" s="526"/>
      <c r="C127" s="526"/>
      <c r="D127" s="526"/>
      <c r="F127" s="531">
        <v>0.5</v>
      </c>
      <c r="G127" s="531"/>
      <c r="H127" s="526" t="s">
        <v>196</v>
      </c>
      <c r="I127" s="526"/>
      <c r="J127" s="531">
        <f>J132</f>
        <v>4</v>
      </c>
      <c r="K127" s="531"/>
      <c r="L127" s="526" t="s">
        <v>197</v>
      </c>
      <c r="M127" s="526"/>
      <c r="N127" s="532">
        <f>F127*J127</f>
        <v>2</v>
      </c>
      <c r="O127" s="532"/>
      <c r="P127" s="200" t="s">
        <v>148</v>
      </c>
      <c r="T127" s="199"/>
      <c r="U127" s="199"/>
      <c r="AJ127" s="201"/>
      <c r="AK127" s="202"/>
      <c r="AL127" s="202"/>
      <c r="AM127" s="203"/>
      <c r="AN127" s="203"/>
    </row>
    <row r="128" spans="1:40">
      <c r="A128" s="200" t="s">
        <v>210</v>
      </c>
      <c r="F128" s="531">
        <f>SUM(N122:O123)-SUM(N126:O127)</f>
        <v>83.62</v>
      </c>
      <c r="G128" s="533"/>
      <c r="H128" s="200" t="s">
        <v>211</v>
      </c>
      <c r="I128" s="533">
        <v>0.25</v>
      </c>
      <c r="J128" s="533"/>
      <c r="K128" s="200" t="s">
        <v>212</v>
      </c>
      <c r="L128" s="525">
        <f>F128*I128</f>
        <v>20.91</v>
      </c>
      <c r="M128" s="528"/>
      <c r="N128" s="199" t="s">
        <v>85</v>
      </c>
      <c r="AJ128" s="201"/>
      <c r="AK128" s="202"/>
      <c r="AL128" s="202"/>
      <c r="AM128" s="203"/>
      <c r="AN128" s="203"/>
    </row>
    <row r="129" spans="1:40">
      <c r="AJ129" s="201"/>
      <c r="AK129" s="202"/>
      <c r="AL129" s="202"/>
      <c r="AM129" s="203"/>
      <c r="AN129" s="203"/>
    </row>
    <row r="130" spans="1:40">
      <c r="A130" s="200" t="s">
        <v>213</v>
      </c>
      <c r="AJ130" s="201"/>
      <c r="AK130" s="202"/>
      <c r="AL130" s="202"/>
      <c r="AM130" s="203"/>
      <c r="AN130" s="203"/>
    </row>
    <row r="131" spans="1:40">
      <c r="E131" s="533"/>
      <c r="F131" s="533"/>
      <c r="H131" s="527"/>
      <c r="I131" s="527"/>
      <c r="J131" s="526"/>
      <c r="K131" s="526"/>
      <c r="L131" s="531"/>
      <c r="M131" s="531"/>
      <c r="AJ131" s="201"/>
      <c r="AK131" s="202"/>
      <c r="AL131" s="202"/>
      <c r="AM131" s="203"/>
      <c r="AN131" s="203"/>
    </row>
    <row r="132" spans="1:40">
      <c r="A132" s="526" t="s">
        <v>209</v>
      </c>
      <c r="B132" s="526"/>
      <c r="C132" s="526"/>
      <c r="D132" s="526"/>
      <c r="F132" s="531">
        <v>0.25</v>
      </c>
      <c r="G132" s="531"/>
      <c r="H132" s="526" t="s">
        <v>214</v>
      </c>
      <c r="I132" s="526"/>
      <c r="J132" s="531">
        <v>4</v>
      </c>
      <c r="K132" s="531"/>
      <c r="L132" s="526" t="s">
        <v>197</v>
      </c>
      <c r="M132" s="526"/>
      <c r="N132" s="532">
        <f>F132*J132</f>
        <v>1</v>
      </c>
      <c r="O132" s="532"/>
      <c r="P132" s="200" t="s">
        <v>85</v>
      </c>
      <c r="AJ132" s="201"/>
      <c r="AK132" s="202"/>
      <c r="AL132" s="202"/>
      <c r="AM132" s="203"/>
      <c r="AN132" s="203"/>
    </row>
    <row r="133" spans="1:40">
      <c r="E133" s="205"/>
      <c r="F133" s="205"/>
      <c r="H133" s="219"/>
      <c r="I133" s="219"/>
      <c r="J133" s="215"/>
      <c r="K133" s="215"/>
      <c r="L133" s="214"/>
      <c r="M133" s="214"/>
      <c r="AJ133" s="201"/>
      <c r="AK133" s="202"/>
      <c r="AL133" s="202"/>
      <c r="AM133" s="203"/>
      <c r="AN133" s="203"/>
    </row>
    <row r="134" spans="1:40">
      <c r="A134" s="200" t="s">
        <v>191</v>
      </c>
      <c r="C134" s="527">
        <f>L128+N132</f>
        <v>21.91</v>
      </c>
      <c r="D134" s="527"/>
      <c r="E134" s="205" t="s">
        <v>85</v>
      </c>
      <c r="F134" s="205"/>
      <c r="H134" s="219"/>
      <c r="I134" s="219"/>
      <c r="J134" s="215"/>
      <c r="K134" s="215"/>
      <c r="L134" s="214"/>
      <c r="M134" s="214"/>
      <c r="AJ134" s="201"/>
      <c r="AK134" s="202"/>
      <c r="AL134" s="202"/>
      <c r="AM134" s="203"/>
      <c r="AN134" s="203"/>
    </row>
    <row r="135" spans="1:40">
      <c r="AJ135" s="201"/>
      <c r="AK135" s="202"/>
      <c r="AL135" s="202"/>
      <c r="AM135" s="203"/>
      <c r="AN135" s="203"/>
    </row>
    <row r="136" spans="1:40" ht="15">
      <c r="A136" s="542" t="s">
        <v>426</v>
      </c>
      <c r="B136" s="542"/>
      <c r="C136" s="542"/>
      <c r="D136" s="542"/>
      <c r="E136" s="542"/>
      <c r="F136" s="542"/>
      <c r="G136" s="542"/>
      <c r="H136" s="542"/>
      <c r="I136" s="542"/>
      <c r="J136" s="542"/>
      <c r="K136" s="542"/>
      <c r="L136" s="542"/>
      <c r="M136" s="542"/>
      <c r="N136" s="542"/>
      <c r="O136" s="542"/>
      <c r="P136" s="542"/>
      <c r="Q136" s="542"/>
      <c r="R136" s="542"/>
      <c r="S136" s="542"/>
      <c r="T136" s="542"/>
      <c r="U136" s="542"/>
      <c r="V136" s="542"/>
      <c r="W136" s="542"/>
      <c r="X136" s="542"/>
      <c r="Y136" s="542"/>
      <c r="Z136" s="542"/>
      <c r="AA136" s="542"/>
      <c r="AB136" s="542"/>
      <c r="AC136" s="542"/>
      <c r="AD136" s="542"/>
      <c r="AE136" s="542"/>
      <c r="AF136" s="542"/>
      <c r="AG136" s="542"/>
      <c r="AH136" s="542"/>
      <c r="AI136" s="542"/>
      <c r="AJ136" s="201"/>
      <c r="AK136" s="202"/>
      <c r="AL136" s="202"/>
      <c r="AM136" s="203"/>
      <c r="AN136" s="203"/>
    </row>
    <row r="137" spans="1:40">
      <c r="AJ137" s="201"/>
      <c r="AK137" s="202"/>
      <c r="AL137" s="202"/>
      <c r="AM137" s="203"/>
      <c r="AN137" s="203"/>
    </row>
    <row r="138" spans="1:40">
      <c r="A138" s="530" t="s">
        <v>246</v>
      </c>
      <c r="B138" s="530"/>
      <c r="C138" s="530"/>
      <c r="D138" s="530"/>
      <c r="E138" s="530"/>
      <c r="F138" s="530"/>
      <c r="G138" s="530"/>
      <c r="H138" s="530"/>
      <c r="I138" s="530"/>
      <c r="J138" s="530"/>
      <c r="K138" s="530"/>
      <c r="L138" s="530"/>
      <c r="M138" s="530"/>
      <c r="N138" s="530"/>
      <c r="O138" s="530"/>
      <c r="P138" s="530"/>
      <c r="Q138" s="530"/>
      <c r="R138" s="530"/>
      <c r="S138" s="530"/>
      <c r="T138" s="530"/>
      <c r="U138" s="530"/>
      <c r="V138" s="530"/>
      <c r="W138" s="530"/>
      <c r="X138" s="530"/>
      <c r="Y138" s="530"/>
      <c r="Z138" s="530"/>
      <c r="AA138" s="530"/>
      <c r="AB138" s="530"/>
      <c r="AC138" s="530"/>
      <c r="AD138" s="530"/>
      <c r="AE138" s="530"/>
      <c r="AF138" s="530"/>
      <c r="AG138" s="530"/>
      <c r="AH138" s="530"/>
      <c r="AI138" s="530"/>
      <c r="AJ138" s="201"/>
      <c r="AK138" s="202"/>
      <c r="AL138" s="202"/>
      <c r="AM138" s="203"/>
      <c r="AN138" s="203"/>
    </row>
    <row r="139" spans="1:40">
      <c r="AJ139" s="201"/>
      <c r="AK139" s="202"/>
      <c r="AL139" s="202"/>
      <c r="AM139" s="203"/>
      <c r="AN139" s="203"/>
    </row>
    <row r="140" spans="1:40">
      <c r="A140" s="200" t="s">
        <v>174</v>
      </c>
      <c r="C140" s="525">
        <f>F85</f>
        <v>119.62</v>
      </c>
      <c r="D140" s="525"/>
      <c r="E140" s="214"/>
      <c r="F140" s="198" t="s">
        <v>175</v>
      </c>
      <c r="G140" s="200" t="s">
        <v>216</v>
      </c>
      <c r="H140" s="528">
        <v>0.15</v>
      </c>
      <c r="I140" s="528"/>
      <c r="J140" s="198" t="s">
        <v>217</v>
      </c>
      <c r="K140" s="525">
        <v>0.15</v>
      </c>
      <c r="L140" s="525"/>
      <c r="M140" s="214" t="s">
        <v>218</v>
      </c>
      <c r="N140" s="200"/>
      <c r="O140" s="200"/>
      <c r="Q140" s="199"/>
      <c r="R140" s="199"/>
      <c r="AJ140" s="201"/>
      <c r="AK140" s="202"/>
      <c r="AL140" s="202"/>
      <c r="AM140" s="203"/>
      <c r="AN140" s="203"/>
    </row>
    <row r="141" spans="1:40">
      <c r="A141" s="200" t="s">
        <v>174</v>
      </c>
      <c r="B141" s="543">
        <f>(C140)*(H140+K140)</f>
        <v>35.89</v>
      </c>
      <c r="C141" s="543"/>
      <c r="D141" s="543"/>
      <c r="E141" s="200" t="s">
        <v>85</v>
      </c>
      <c r="AJ141" s="201"/>
      <c r="AK141" s="202"/>
      <c r="AL141" s="202"/>
      <c r="AM141" s="203"/>
      <c r="AN141" s="203"/>
    </row>
    <row r="142" spans="1:40">
      <c r="AJ142" s="201"/>
      <c r="AK142" s="202"/>
      <c r="AL142" s="202"/>
      <c r="AM142" s="203"/>
      <c r="AN142" s="203"/>
    </row>
    <row r="143" spans="1:40" s="223" customFormat="1" ht="15" customHeight="1">
      <c r="A143" s="544" t="s">
        <v>427</v>
      </c>
      <c r="B143" s="544"/>
      <c r="C143" s="544"/>
      <c r="D143" s="544"/>
      <c r="E143" s="544"/>
      <c r="F143" s="544"/>
      <c r="G143" s="544"/>
      <c r="H143" s="544"/>
      <c r="I143" s="544"/>
      <c r="J143" s="544"/>
      <c r="K143" s="544"/>
      <c r="L143" s="544"/>
      <c r="M143" s="544"/>
      <c r="N143" s="544"/>
      <c r="O143" s="544"/>
      <c r="P143" s="544"/>
      <c r="Q143" s="544"/>
      <c r="R143" s="544"/>
      <c r="S143" s="544"/>
      <c r="T143" s="544"/>
      <c r="U143" s="544"/>
      <c r="V143" s="544"/>
      <c r="W143" s="544"/>
      <c r="X143" s="544"/>
      <c r="Y143" s="544"/>
      <c r="Z143" s="544"/>
      <c r="AA143" s="544"/>
      <c r="AB143" s="544"/>
      <c r="AC143" s="544"/>
      <c r="AD143" s="544"/>
      <c r="AE143" s="544"/>
      <c r="AF143" s="544"/>
      <c r="AG143" s="544"/>
      <c r="AH143" s="544"/>
      <c r="AI143" s="544"/>
      <c r="AJ143" s="220"/>
      <c r="AK143" s="221"/>
      <c r="AL143" s="221"/>
      <c r="AM143" s="222"/>
      <c r="AN143" s="222"/>
    </row>
    <row r="144" spans="1:40">
      <c r="AM144" s="203"/>
      <c r="AN144" s="203"/>
    </row>
    <row r="145" spans="1:40">
      <c r="A145" s="538" t="s">
        <v>219</v>
      </c>
      <c r="B145" s="538"/>
      <c r="C145" s="538"/>
      <c r="D145" s="538"/>
      <c r="E145" s="538"/>
      <c r="F145" s="538"/>
      <c r="G145" s="538"/>
      <c r="H145" s="538"/>
      <c r="I145" s="538"/>
      <c r="J145" s="538"/>
      <c r="K145" s="538"/>
      <c r="L145" s="538"/>
      <c r="M145" s="538"/>
      <c r="N145" s="538"/>
      <c r="O145" s="538"/>
      <c r="P145" s="538"/>
      <c r="Q145" s="538"/>
      <c r="R145" s="538"/>
      <c r="S145" s="538"/>
      <c r="T145" s="538"/>
      <c r="U145" s="538"/>
      <c r="V145" s="538"/>
      <c r="W145" s="538"/>
      <c r="X145" s="538"/>
      <c r="Y145" s="538"/>
      <c r="Z145" s="538"/>
      <c r="AA145" s="538"/>
      <c r="AB145" s="538"/>
      <c r="AC145" s="538"/>
      <c r="AD145" s="538"/>
      <c r="AE145" s="538"/>
      <c r="AF145" s="538"/>
      <c r="AG145" s="538"/>
      <c r="AH145" s="538"/>
      <c r="AI145" s="538"/>
      <c r="AM145" s="203"/>
      <c r="AN145" s="203"/>
    </row>
    <row r="146" spans="1:40">
      <c r="A146" s="538"/>
      <c r="B146" s="538"/>
      <c r="C146" s="538"/>
      <c r="D146" s="538"/>
      <c r="E146" s="538"/>
      <c r="F146" s="538"/>
      <c r="G146" s="538"/>
      <c r="H146" s="538"/>
      <c r="I146" s="538"/>
      <c r="J146" s="538"/>
      <c r="K146" s="538"/>
      <c r="L146" s="538"/>
      <c r="M146" s="538"/>
      <c r="N146" s="538"/>
      <c r="O146" s="538"/>
      <c r="P146" s="538"/>
      <c r="Q146" s="538"/>
      <c r="R146" s="538"/>
      <c r="S146" s="538"/>
      <c r="T146" s="538"/>
      <c r="U146" s="538"/>
      <c r="V146" s="538"/>
      <c r="W146" s="538"/>
      <c r="X146" s="538"/>
      <c r="Y146" s="538"/>
      <c r="Z146" s="538"/>
      <c r="AA146" s="538"/>
      <c r="AB146" s="538"/>
      <c r="AC146" s="538"/>
      <c r="AD146" s="538"/>
      <c r="AE146" s="538"/>
      <c r="AF146" s="538"/>
      <c r="AG146" s="538"/>
      <c r="AH146" s="538"/>
      <c r="AI146" s="538"/>
      <c r="AM146" s="203"/>
      <c r="AN146" s="203"/>
    </row>
    <row r="147" spans="1:40">
      <c r="AJ147" s="525" t="s">
        <v>220</v>
      </c>
      <c r="AK147" s="525"/>
      <c r="AL147" s="199" t="s">
        <v>221</v>
      </c>
      <c r="AM147" s="203"/>
      <c r="AN147" s="203"/>
    </row>
    <row r="148" spans="1:40">
      <c r="B148" s="200" t="s">
        <v>222</v>
      </c>
      <c r="AK148" s="198"/>
      <c r="AM148" s="203"/>
      <c r="AN148" s="203"/>
    </row>
    <row r="149" spans="1:40">
      <c r="A149" s="200" t="s">
        <v>174</v>
      </c>
      <c r="B149" s="527">
        <f>AJ150</f>
        <v>2</v>
      </c>
      <c r="C149" s="527"/>
      <c r="D149" s="200" t="s">
        <v>102</v>
      </c>
      <c r="F149" s="200" t="s">
        <v>175</v>
      </c>
      <c r="G149" s="525">
        <f>AL150</f>
        <v>0.28000000000000003</v>
      </c>
      <c r="H149" s="525"/>
      <c r="I149" s="200" t="s">
        <v>223</v>
      </c>
      <c r="AK149" s="198"/>
      <c r="AM149" s="203"/>
      <c r="AN149" s="203"/>
    </row>
    <row r="150" spans="1:40">
      <c r="A150" s="200" t="s">
        <v>224</v>
      </c>
      <c r="B150" s="543">
        <f>B149*G149</f>
        <v>0.56000000000000005</v>
      </c>
      <c r="C150" s="543"/>
      <c r="D150" s="530" t="s">
        <v>85</v>
      </c>
      <c r="E150" s="530"/>
      <c r="AJ150" s="198">
        <v>2</v>
      </c>
      <c r="AL150" s="199">
        <f>PI()*0.3^2</f>
        <v>0.28000000000000003</v>
      </c>
      <c r="AM150" s="203"/>
      <c r="AN150" s="203"/>
    </row>
    <row r="152" spans="1:40">
      <c r="B152" s="200" t="s">
        <v>225</v>
      </c>
      <c r="AK152" s="198"/>
      <c r="AM152" s="203"/>
      <c r="AN152" s="203"/>
    </row>
    <row r="153" spans="1:40">
      <c r="A153" s="200" t="s">
        <v>174</v>
      </c>
      <c r="B153" s="527">
        <f>AJ154</f>
        <v>0</v>
      </c>
      <c r="C153" s="527"/>
      <c r="D153" s="200" t="s">
        <v>102</v>
      </c>
      <c r="F153" s="200" t="s">
        <v>175</v>
      </c>
      <c r="G153" s="525">
        <f>AL154</f>
        <v>0.2</v>
      </c>
      <c r="H153" s="525"/>
      <c r="I153" s="200" t="s">
        <v>223</v>
      </c>
      <c r="AJ153" s="525" t="s">
        <v>226</v>
      </c>
      <c r="AK153" s="525"/>
      <c r="AM153" s="203"/>
      <c r="AN153" s="203"/>
    </row>
    <row r="154" spans="1:40">
      <c r="A154" s="200" t="s">
        <v>224</v>
      </c>
      <c r="B154" s="543">
        <f>B153*G153</f>
        <v>0</v>
      </c>
      <c r="C154" s="543"/>
      <c r="D154" s="530" t="s">
        <v>85</v>
      </c>
      <c r="E154" s="530"/>
      <c r="AJ154" s="198">
        <v>0</v>
      </c>
      <c r="AL154" s="199">
        <f>PI()*0.25^2</f>
        <v>0.2</v>
      </c>
      <c r="AM154" s="203"/>
      <c r="AN154" s="203"/>
    </row>
    <row r="156" spans="1:40">
      <c r="A156" s="200" t="s">
        <v>185</v>
      </c>
      <c r="C156" s="525">
        <f>B150+B154</f>
        <v>0.56000000000000005</v>
      </c>
      <c r="D156" s="528"/>
      <c r="E156" s="200" t="s">
        <v>85</v>
      </c>
    </row>
    <row r="158" spans="1:40" ht="15">
      <c r="A158" s="539" t="s">
        <v>227</v>
      </c>
      <c r="B158" s="540"/>
      <c r="C158" s="540"/>
      <c r="D158" s="540"/>
      <c r="E158" s="540"/>
      <c r="F158" s="540"/>
      <c r="G158" s="540"/>
      <c r="H158" s="540"/>
      <c r="I158" s="540"/>
      <c r="J158" s="540"/>
      <c r="K158" s="540"/>
      <c r="L158" s="540"/>
      <c r="M158" s="540"/>
      <c r="N158" s="540"/>
      <c r="O158" s="540"/>
      <c r="P158" s="540"/>
      <c r="Q158" s="540"/>
      <c r="R158" s="540"/>
      <c r="S158" s="540"/>
      <c r="T158" s="540"/>
      <c r="U158" s="540"/>
      <c r="V158" s="540"/>
      <c r="W158" s="540"/>
      <c r="X158" s="540"/>
      <c r="Y158" s="540"/>
      <c r="Z158" s="540"/>
      <c r="AA158" s="540"/>
      <c r="AB158" s="540"/>
      <c r="AC158" s="540"/>
      <c r="AD158" s="540"/>
      <c r="AE158" s="540"/>
      <c r="AF158" s="540"/>
      <c r="AG158" s="540"/>
      <c r="AH158" s="540"/>
      <c r="AI158" s="541"/>
      <c r="AJ158" s="201"/>
      <c r="AK158" s="202"/>
      <c r="AL158" s="202"/>
      <c r="AM158" s="203"/>
      <c r="AN158" s="203"/>
    </row>
    <row r="159" spans="1:40">
      <c r="AJ159" s="201"/>
      <c r="AK159" s="202"/>
      <c r="AL159" s="202"/>
      <c r="AM159" s="203"/>
      <c r="AN159" s="203"/>
    </row>
    <row r="160" spans="1:40" ht="15">
      <c r="A160" s="542" t="s">
        <v>247</v>
      </c>
      <c r="B160" s="542"/>
      <c r="C160" s="542"/>
      <c r="D160" s="542"/>
      <c r="E160" s="542"/>
      <c r="F160" s="542"/>
      <c r="G160" s="542"/>
      <c r="H160" s="542"/>
      <c r="I160" s="542"/>
      <c r="J160" s="542"/>
      <c r="K160" s="542"/>
      <c r="L160" s="542"/>
      <c r="M160" s="542"/>
      <c r="N160" s="542"/>
      <c r="O160" s="542"/>
      <c r="P160" s="542"/>
      <c r="Q160" s="542"/>
      <c r="R160" s="542"/>
      <c r="S160" s="542"/>
      <c r="T160" s="542"/>
      <c r="U160" s="542"/>
      <c r="V160" s="542"/>
      <c r="W160" s="542"/>
      <c r="X160" s="542"/>
      <c r="Y160" s="542"/>
      <c r="Z160" s="542"/>
      <c r="AA160" s="542"/>
      <c r="AB160" s="542"/>
      <c r="AC160" s="542"/>
      <c r="AD160" s="542"/>
      <c r="AE160" s="542"/>
      <c r="AF160" s="542"/>
      <c r="AG160" s="542"/>
      <c r="AH160" s="542"/>
      <c r="AI160" s="542"/>
    </row>
    <row r="162" spans="1:35">
      <c r="A162" s="530" t="s">
        <v>360</v>
      </c>
      <c r="B162" s="530"/>
      <c r="C162" s="530"/>
      <c r="D162" s="530"/>
      <c r="E162" s="530"/>
      <c r="F162" s="530"/>
      <c r="G162" s="530"/>
      <c r="H162" s="530"/>
      <c r="I162" s="530"/>
      <c r="J162" s="530"/>
      <c r="K162" s="530"/>
      <c r="L162" s="530"/>
      <c r="M162" s="530"/>
      <c r="N162" s="530"/>
      <c r="O162" s="530"/>
      <c r="P162" s="530"/>
      <c r="Q162" s="530"/>
      <c r="R162" s="530"/>
      <c r="S162" s="530"/>
      <c r="T162" s="530"/>
      <c r="U162" s="530"/>
      <c r="V162" s="530"/>
      <c r="W162" s="530"/>
      <c r="X162" s="530"/>
      <c r="Y162" s="530"/>
      <c r="Z162" s="530"/>
      <c r="AA162" s="530"/>
      <c r="AB162" s="530"/>
      <c r="AC162" s="530"/>
      <c r="AD162" s="530"/>
      <c r="AE162" s="530"/>
      <c r="AF162" s="530"/>
      <c r="AG162" s="530"/>
      <c r="AH162" s="530"/>
      <c r="AI162" s="530"/>
    </row>
    <row r="164" spans="1:35">
      <c r="A164" s="200" t="s">
        <v>230</v>
      </c>
      <c r="B164" s="543">
        <f>B75</f>
        <v>328.24</v>
      </c>
      <c r="C164" s="530"/>
      <c r="D164" s="530"/>
      <c r="E164" s="200" t="s">
        <v>85</v>
      </c>
    </row>
  </sheetData>
  <mergeCells count="177">
    <mergeCell ref="A2:AI2"/>
    <mergeCell ref="A4:AI4"/>
    <mergeCell ref="A6:AI6"/>
    <mergeCell ref="A8:AI8"/>
    <mergeCell ref="B10:C10"/>
    <mergeCell ref="F10:G10"/>
    <mergeCell ref="J10:K10"/>
    <mergeCell ref="A33:AI33"/>
    <mergeCell ref="A35:AI35"/>
    <mergeCell ref="A12:AI12"/>
    <mergeCell ref="A14:AI14"/>
    <mergeCell ref="A15:AI15"/>
    <mergeCell ref="B16:C16"/>
    <mergeCell ref="G16:H16"/>
    <mergeCell ref="C18:E18"/>
    <mergeCell ref="B37:C37"/>
    <mergeCell ref="D37:E37"/>
    <mergeCell ref="A40:AI40"/>
    <mergeCell ref="A42:AI42"/>
    <mergeCell ref="A20:AI20"/>
    <mergeCell ref="A22:AI22"/>
    <mergeCell ref="B24:C24"/>
    <mergeCell ref="A26:AI26"/>
    <mergeCell ref="A28:AI28"/>
    <mergeCell ref="B30:C30"/>
    <mergeCell ref="D30:E30"/>
    <mergeCell ref="A54:AI54"/>
    <mergeCell ref="A56:AI56"/>
    <mergeCell ref="B58:C58"/>
    <mergeCell ref="D58:E58"/>
    <mergeCell ref="A61:AI61"/>
    <mergeCell ref="B44:C44"/>
    <mergeCell ref="D44:E44"/>
    <mergeCell ref="A47:AI47"/>
    <mergeCell ref="A49:AI49"/>
    <mergeCell ref="B51:C51"/>
    <mergeCell ref="D51:E51"/>
    <mergeCell ref="B75:D75"/>
    <mergeCell ref="A77:AI77"/>
    <mergeCell ref="A79:AI79"/>
    <mergeCell ref="A80:AI80"/>
    <mergeCell ref="AJ81:AK81"/>
    <mergeCell ref="AM81:AN81"/>
    <mergeCell ref="A70:AI70"/>
    <mergeCell ref="A72:AI72"/>
    <mergeCell ref="B74:C74"/>
    <mergeCell ref="G74:H74"/>
    <mergeCell ref="K74:L74"/>
    <mergeCell ref="O74:P74"/>
    <mergeCell ref="F85:G85"/>
    <mergeCell ref="F86:G86"/>
    <mergeCell ref="A87:AI87"/>
    <mergeCell ref="A89:AI89"/>
    <mergeCell ref="AJ89:AK89"/>
    <mergeCell ref="B91:D91"/>
    <mergeCell ref="G91:H91"/>
    <mergeCell ref="A82:D82"/>
    <mergeCell ref="F82:G82"/>
    <mergeCell ref="A83:D83"/>
    <mergeCell ref="F83:G83"/>
    <mergeCell ref="B92:D92"/>
    <mergeCell ref="A94:AI94"/>
    <mergeCell ref="A96:AI96"/>
    <mergeCell ref="A97:AI97"/>
    <mergeCell ref="A99:AI99"/>
    <mergeCell ref="A101:D101"/>
    <mergeCell ref="F101:G101"/>
    <mergeCell ref="H101:I101"/>
    <mergeCell ref="J101:K101"/>
    <mergeCell ref="L101:M101"/>
    <mergeCell ref="A103:D103"/>
    <mergeCell ref="F103:G103"/>
    <mergeCell ref="H103:I103"/>
    <mergeCell ref="J103:K103"/>
    <mergeCell ref="L103:M103"/>
    <mergeCell ref="N103:O103"/>
    <mergeCell ref="N101:O101"/>
    <mergeCell ref="A102:D102"/>
    <mergeCell ref="F102:G102"/>
    <mergeCell ref="H102:I102"/>
    <mergeCell ref="J102:K102"/>
    <mergeCell ref="L102:M102"/>
    <mergeCell ref="N102:O102"/>
    <mergeCell ref="C104:D104"/>
    <mergeCell ref="E104:F104"/>
    <mergeCell ref="G104:H104"/>
    <mergeCell ref="I104:J104"/>
    <mergeCell ref="K104:L104"/>
    <mergeCell ref="A107:D107"/>
    <mergeCell ref="F107:G107"/>
    <mergeCell ref="H107:I107"/>
    <mergeCell ref="J107:K107"/>
    <mergeCell ref="L107:M107"/>
    <mergeCell ref="Q108:R108"/>
    <mergeCell ref="F109:G109"/>
    <mergeCell ref="H109:I109"/>
    <mergeCell ref="J109:K109"/>
    <mergeCell ref="L109:M109"/>
    <mergeCell ref="N109:O109"/>
    <mergeCell ref="N107:O107"/>
    <mergeCell ref="F108:G108"/>
    <mergeCell ref="H108:I108"/>
    <mergeCell ref="J108:K108"/>
    <mergeCell ref="L108:M108"/>
    <mergeCell ref="N108:O108"/>
    <mergeCell ref="A112:AI112"/>
    <mergeCell ref="A114:AI114"/>
    <mergeCell ref="B116:C116"/>
    <mergeCell ref="D116:E116"/>
    <mergeCell ref="A118:AI118"/>
    <mergeCell ref="A122:D122"/>
    <mergeCell ref="F122:G122"/>
    <mergeCell ref="H122:I122"/>
    <mergeCell ref="J122:K122"/>
    <mergeCell ref="L122:M122"/>
    <mergeCell ref="A126:D126"/>
    <mergeCell ref="F126:G126"/>
    <mergeCell ref="H126:I126"/>
    <mergeCell ref="J126:K126"/>
    <mergeCell ref="L126:M126"/>
    <mergeCell ref="N126:O126"/>
    <mergeCell ref="N122:O122"/>
    <mergeCell ref="A123:D123"/>
    <mergeCell ref="F123:G123"/>
    <mergeCell ref="H123:I123"/>
    <mergeCell ref="J123:K123"/>
    <mergeCell ref="L123:M123"/>
    <mergeCell ref="N123:O123"/>
    <mergeCell ref="AJ147:AK147"/>
    <mergeCell ref="B149:C149"/>
    <mergeCell ref="G149:H149"/>
    <mergeCell ref="L128:M128"/>
    <mergeCell ref="E131:F131"/>
    <mergeCell ref="H131:I131"/>
    <mergeCell ref="J131:K131"/>
    <mergeCell ref="L131:M131"/>
    <mergeCell ref="A127:D127"/>
    <mergeCell ref="F127:G127"/>
    <mergeCell ref="H127:I127"/>
    <mergeCell ref="J127:K127"/>
    <mergeCell ref="L127:M127"/>
    <mergeCell ref="N127:O127"/>
    <mergeCell ref="A158:AI158"/>
    <mergeCell ref="A160:AI160"/>
    <mergeCell ref="A162:AI162"/>
    <mergeCell ref="B164:D164"/>
    <mergeCell ref="B150:C150"/>
    <mergeCell ref="D150:E150"/>
    <mergeCell ref="B153:C153"/>
    <mergeCell ref="G153:H153"/>
    <mergeCell ref="AJ153:AK153"/>
    <mergeCell ref="B154:C154"/>
    <mergeCell ref="D154:E154"/>
    <mergeCell ref="A63:AI63"/>
    <mergeCell ref="A65:AI65"/>
    <mergeCell ref="A66:AI66"/>
    <mergeCell ref="B67:C67"/>
    <mergeCell ref="G67:H67"/>
    <mergeCell ref="B68:D68"/>
    <mergeCell ref="C156:D156"/>
    <mergeCell ref="C134:D134"/>
    <mergeCell ref="A136:AI136"/>
    <mergeCell ref="A138:AI138"/>
    <mergeCell ref="C140:D140"/>
    <mergeCell ref="H140:I140"/>
    <mergeCell ref="K140:L140"/>
    <mergeCell ref="A132:D132"/>
    <mergeCell ref="F132:G132"/>
    <mergeCell ref="H132:I132"/>
    <mergeCell ref="J132:K132"/>
    <mergeCell ref="L132:M132"/>
    <mergeCell ref="N132:O132"/>
    <mergeCell ref="F128:G128"/>
    <mergeCell ref="I128:J128"/>
    <mergeCell ref="B141:D141"/>
    <mergeCell ref="A143:AI143"/>
    <mergeCell ref="A145:AI146"/>
  </mergeCells>
  <printOptions horizontalCentered="1"/>
  <pageMargins left="0.25" right="0.25" top="0.75" bottom="0.75" header="0.3" footer="0.3"/>
  <pageSetup paperSize="9" scale="65" orientation="portrait" horizontalDpi="4294967293" verticalDpi="4294967293" r:id="rId1"/>
  <rowBreaks count="1" manualBreakCount="1">
    <brk id="117" max="3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B1:AG48"/>
  <sheetViews>
    <sheetView view="pageBreakPreview" topLeftCell="A31" zoomScaleSheetLayoutView="100" workbookViewId="0">
      <selection activeCell="I44" sqref="I44"/>
    </sheetView>
  </sheetViews>
  <sheetFormatPr defaultColWidth="9.140625" defaultRowHeight="14.25"/>
  <cols>
    <col min="1" max="1" width="2.28515625" style="157" customWidth="1"/>
    <col min="2" max="2" width="13.85546875" style="234" customWidth="1"/>
    <col min="3" max="3" width="12.85546875" style="234" customWidth="1"/>
    <col min="4" max="4" width="9.140625" style="234"/>
    <col min="5" max="5" width="60.7109375" style="157" customWidth="1"/>
    <col min="6" max="6" width="9.140625" style="234"/>
    <col min="7" max="7" width="9.85546875" style="235" bestFit="1" customWidth="1"/>
    <col min="8" max="8" width="9.140625" style="235"/>
    <col min="9" max="9" width="11.7109375" style="235" customWidth="1"/>
    <col min="10" max="10" width="10.140625" style="157" bestFit="1" customWidth="1"/>
    <col min="11" max="11" width="10.140625" style="160" bestFit="1" customWidth="1"/>
    <col min="12" max="12" width="9.140625" style="157"/>
    <col min="13" max="13" width="10.140625" style="157" bestFit="1" customWidth="1"/>
    <col min="14" max="16384" width="9.140625" style="157"/>
  </cols>
  <sheetData>
    <row r="1" spans="2:11" s="153" customFormat="1" ht="21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.75" customHeight="1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233"/>
      <c r="F8" s="233"/>
      <c r="G8" s="233"/>
      <c r="H8" s="233"/>
      <c r="I8" s="233"/>
    </row>
    <row r="9" spans="2:11" ht="15" customHeight="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 ht="15" customHeight="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5.75" customHeight="1">
      <c r="B11" s="158" t="s">
        <v>121</v>
      </c>
      <c r="C11" s="159" t="str">
        <f>'RUA 8'!C11</f>
        <v>1054116-72</v>
      </c>
      <c r="D11" s="194"/>
      <c r="E11" s="194"/>
      <c r="F11" s="194"/>
      <c r="G11" s="194"/>
      <c r="H11" s="194"/>
      <c r="I11" s="194"/>
    </row>
    <row r="12" spans="2:11" ht="15" customHeight="1">
      <c r="B12" s="158" t="s">
        <v>122</v>
      </c>
      <c r="C12" s="515" t="s">
        <v>375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10'!A2</f>
        <v>Rua Maria Francisca da Conceição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s="355" customFormat="1" ht="28.5" customHeight="1">
      <c r="B15" s="521" t="s">
        <v>125</v>
      </c>
      <c r="C15" s="521"/>
      <c r="D15" s="522" t="s">
        <v>376</v>
      </c>
      <c r="E15" s="522"/>
      <c r="F15" s="522"/>
      <c r="G15" s="522"/>
      <c r="H15" s="357" t="s">
        <v>126</v>
      </c>
      <c r="I15" s="358">
        <f>BDI!B14</f>
        <v>0.2203</v>
      </c>
      <c r="K15" s="359"/>
    </row>
    <row r="17" spans="2:11" ht="15">
      <c r="B17" s="518" t="s">
        <v>127</v>
      </c>
      <c r="C17" s="518" t="s">
        <v>52</v>
      </c>
      <c r="D17" s="518" t="s">
        <v>46</v>
      </c>
      <c r="E17" s="518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1" ht="15">
      <c r="B18" s="518"/>
      <c r="C18" s="518"/>
      <c r="D18" s="518"/>
      <c r="E18" s="518"/>
      <c r="F18" s="518"/>
      <c r="G18" s="519"/>
      <c r="H18" s="239" t="s">
        <v>132</v>
      </c>
      <c r="I18" s="239" t="s">
        <v>133</v>
      </c>
    </row>
    <row r="20" spans="2:11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783.54</v>
      </c>
    </row>
    <row r="21" spans="2:11">
      <c r="B21" s="176" t="s">
        <v>136</v>
      </c>
      <c r="C21" s="176" t="s">
        <v>137</v>
      </c>
      <c r="D21" s="176" t="s">
        <v>138</v>
      </c>
      <c r="E21" s="360" t="s">
        <v>231</v>
      </c>
      <c r="F21" s="176" t="s">
        <v>85</v>
      </c>
      <c r="G21" s="361">
        <f>'MEMORIAL 10'!J10</f>
        <v>0</v>
      </c>
      <c r="H21" s="361">
        <f>ROUND(K21+(K21*$I$15),2)</f>
        <v>381.08</v>
      </c>
      <c r="I21" s="361">
        <f>ROUND(G21*H21,2)</f>
        <v>0</v>
      </c>
      <c r="K21" s="160">
        <f>'RUA 8'!K21</f>
        <v>312.27999999999997</v>
      </c>
    </row>
    <row r="22" spans="2:11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10'!C22</f>
        <v>1647.48</v>
      </c>
      <c r="H22" s="361">
        <f>ROUND(K22+(K22*$I$15),2)</f>
        <v>0.35</v>
      </c>
      <c r="I22" s="361">
        <f>ROUND(G22*H22,2)</f>
        <v>576.62</v>
      </c>
      <c r="K22" s="160">
        <v>0.28999999999999998</v>
      </c>
    </row>
    <row r="23" spans="2:11" ht="28.5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10'!B28</f>
        <v>2</v>
      </c>
      <c r="H23" s="361">
        <f>ROUND(K23+(K23*$I$15),2)</f>
        <v>103.46</v>
      </c>
      <c r="I23" s="361">
        <f>ROUND(G23*H23,2)</f>
        <v>206.92</v>
      </c>
      <c r="K23" s="160">
        <f>'RUA 8'!K23</f>
        <v>84.78</v>
      </c>
    </row>
    <row r="24" spans="2:11">
      <c r="B24" s="524"/>
      <c r="C24" s="524"/>
      <c r="D24" s="524"/>
      <c r="E24" s="524"/>
      <c r="F24" s="524"/>
      <c r="G24" s="524"/>
      <c r="H24" s="524"/>
      <c r="I24" s="524"/>
    </row>
    <row r="26" spans="2:11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135004.76</v>
      </c>
    </row>
    <row r="27" spans="2:11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10'!B79</f>
        <v>1647.48</v>
      </c>
      <c r="H27" s="361">
        <f>ROUND(K27+(K27*$I$15),2)</f>
        <v>1.43</v>
      </c>
      <c r="I27" s="361">
        <f t="shared" ref="I27:I35" si="0">ROUND(G27*H27,2)</f>
        <v>2355.9</v>
      </c>
      <c r="K27" s="160">
        <v>1.17</v>
      </c>
    </row>
    <row r="28" spans="2:11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ROUND('MEMORIAL 10'!B92,2)</f>
        <v>1647.48</v>
      </c>
      <c r="H28" s="361">
        <f>ROUND(K28+(K28*$I$15),2)</f>
        <v>50.13</v>
      </c>
      <c r="I28" s="361">
        <f t="shared" si="0"/>
        <v>82588.17</v>
      </c>
      <c r="K28" s="160">
        <f>'RUA 8'!K28</f>
        <v>41.08</v>
      </c>
    </row>
    <row r="29" spans="2:11">
      <c r="B29" s="176" t="s">
        <v>149</v>
      </c>
      <c r="C29" s="176" t="s">
        <v>150</v>
      </c>
      <c r="D29" s="176" t="s">
        <v>151</v>
      </c>
      <c r="E29" s="362" t="s">
        <v>369</v>
      </c>
      <c r="F29" s="242" t="s">
        <v>148</v>
      </c>
      <c r="G29" s="363">
        <f>'MEMORIAL 10'!F107</f>
        <v>488.35</v>
      </c>
      <c r="H29" s="363">
        <f t="shared" ref="H29:H35" si="1">ROUND(K29+(K29*$I$15),2)</f>
        <v>15.49</v>
      </c>
      <c r="I29" s="363">
        <f t="shared" si="0"/>
        <v>7564.54</v>
      </c>
      <c r="K29" s="160">
        <f>'RUA 8'!K29</f>
        <v>12.69</v>
      </c>
    </row>
    <row r="30" spans="2:11" ht="28.5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10'!B114</f>
        <v>54</v>
      </c>
      <c r="H30" s="361">
        <f t="shared" si="1"/>
        <v>15.49</v>
      </c>
      <c r="I30" s="361">
        <f t="shared" si="0"/>
        <v>836.46</v>
      </c>
      <c r="K30" s="160">
        <f>'RUA 8'!K30</f>
        <v>12.69</v>
      </c>
    </row>
    <row r="31" spans="2:11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10'!N134</f>
        <v>402.38</v>
      </c>
      <c r="H31" s="361">
        <f t="shared" si="1"/>
        <v>61.73</v>
      </c>
      <c r="I31" s="361">
        <f t="shared" si="0"/>
        <v>24838.92</v>
      </c>
      <c r="K31" s="160">
        <f>'RUA 8'!K31</f>
        <v>50.59</v>
      </c>
    </row>
    <row r="32" spans="2:11" ht="42.75">
      <c r="B32" s="176" t="s">
        <v>145</v>
      </c>
      <c r="C32" s="380" t="s">
        <v>364</v>
      </c>
      <c r="D32" s="176" t="s">
        <v>157</v>
      </c>
      <c r="E32" s="360" t="s">
        <v>156</v>
      </c>
      <c r="F32" s="176" t="s">
        <v>102</v>
      </c>
      <c r="G32" s="361">
        <f>ROUND('MEMORIAL 10'!B140,2)</f>
        <v>12</v>
      </c>
      <c r="H32" s="361">
        <f t="shared" si="1"/>
        <v>677.88</v>
      </c>
      <c r="I32" s="361">
        <f t="shared" si="0"/>
        <v>8134.56</v>
      </c>
      <c r="K32" s="160">
        <f>COMP!K72</f>
        <v>555.5</v>
      </c>
    </row>
    <row r="33" spans="2:33" ht="57" customHeight="1">
      <c r="B33" s="176" t="s">
        <v>145</v>
      </c>
      <c r="C33" s="380" t="s">
        <v>421</v>
      </c>
      <c r="D33" s="176" t="s">
        <v>159</v>
      </c>
      <c r="E33" s="360" t="str">
        <f>'RUA 8'!E33</f>
        <v>Piso tátil direcional e/ou alerta, de concreto, colorido, p/deficientes visuais, dimensões 25x25cm, aplicado com argamassa industrializada AC-II, rejuntado, exclusive regularização de base</v>
      </c>
      <c r="F33" s="176" t="s">
        <v>85</v>
      </c>
      <c r="G33" s="361">
        <f>'MEMORIAL 10'!C167</f>
        <v>100.96</v>
      </c>
      <c r="H33" s="361">
        <f t="shared" si="1"/>
        <v>82.39</v>
      </c>
      <c r="I33" s="361">
        <f t="shared" si="0"/>
        <v>8318.09</v>
      </c>
      <c r="K33" s="160">
        <f>COMP!K439</f>
        <v>67.52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10'!B174,2)</f>
        <v>146.51</v>
      </c>
      <c r="H34" s="361">
        <f t="shared" si="1"/>
        <v>1.04</v>
      </c>
      <c r="I34" s="361">
        <f t="shared" si="0"/>
        <v>152.37</v>
      </c>
      <c r="K34" s="160">
        <f>'RUA 8'!K34</f>
        <v>0.85</v>
      </c>
    </row>
    <row r="35" spans="2:33" ht="30" customHeight="1">
      <c r="B35" s="176" t="s">
        <v>161</v>
      </c>
      <c r="C35" s="364" t="s">
        <v>162</v>
      </c>
      <c r="D35" s="176" t="s">
        <v>365</v>
      </c>
      <c r="E35" s="362" t="s">
        <v>164</v>
      </c>
      <c r="F35" s="242" t="s">
        <v>85</v>
      </c>
      <c r="G35" s="361">
        <f>ROUND('MEMORIAL 10'!C189,2)</f>
        <v>0.68</v>
      </c>
      <c r="H35" s="361">
        <f t="shared" si="1"/>
        <v>317.27999999999997</v>
      </c>
      <c r="I35" s="361">
        <f t="shared" si="0"/>
        <v>215.75</v>
      </c>
      <c r="K35" s="160">
        <f>'RUA 8'!K35</f>
        <v>260</v>
      </c>
    </row>
    <row r="36" spans="2:33">
      <c r="B36" s="562"/>
      <c r="C36" s="563"/>
      <c r="D36" s="563"/>
      <c r="E36" s="563"/>
      <c r="F36" s="563"/>
      <c r="G36" s="563"/>
      <c r="H36" s="563"/>
      <c r="I36" s="564"/>
    </row>
    <row r="37" spans="2:33" customFormat="1" ht="15"/>
    <row r="38" spans="2:33" s="197" customFormat="1" ht="15">
      <c r="B38" s="238" t="s">
        <v>127</v>
      </c>
      <c r="C38" s="238" t="s">
        <v>52</v>
      </c>
      <c r="D38" s="238" t="s">
        <v>165</v>
      </c>
      <c r="E38" s="523" t="s">
        <v>166</v>
      </c>
      <c r="F38" s="523"/>
      <c r="G38" s="523"/>
      <c r="H38" s="523"/>
      <c r="I38" s="239">
        <f>SUM(I39)</f>
        <v>642.52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>
      <c r="B39" s="387" t="s">
        <v>158</v>
      </c>
      <c r="C39" s="387">
        <v>84523</v>
      </c>
      <c r="D39" s="387" t="s">
        <v>167</v>
      </c>
      <c r="E39" s="388" t="s">
        <v>168</v>
      </c>
      <c r="F39" s="387" t="s">
        <v>85</v>
      </c>
      <c r="G39" s="389">
        <f>'MEMORIAL 10'!B197</f>
        <v>1647.48</v>
      </c>
      <c r="H39" s="390">
        <f>ROUND(K39+(K39*$I$15),2)</f>
        <v>0.39</v>
      </c>
      <c r="I39" s="387">
        <f>ROUND(G39*H39,2)</f>
        <v>642.52</v>
      </c>
      <c r="K39" s="160">
        <v>0.32</v>
      </c>
    </row>
    <row r="40" spans="2:33">
      <c r="B40" s="524"/>
      <c r="C40" s="524"/>
      <c r="D40" s="524"/>
      <c r="E40" s="524"/>
      <c r="F40" s="524"/>
      <c r="G40" s="524"/>
      <c r="H40" s="524"/>
      <c r="I40" s="524"/>
    </row>
    <row r="41" spans="2:33">
      <c r="E41" s="245"/>
      <c r="G41" s="246"/>
      <c r="H41" s="234"/>
      <c r="I41" s="234"/>
    </row>
    <row r="42" spans="2:33">
      <c r="B42" s="518" t="s">
        <v>133</v>
      </c>
      <c r="C42" s="518"/>
      <c r="D42" s="518"/>
      <c r="E42" s="518"/>
      <c r="F42" s="518"/>
      <c r="G42" s="518"/>
      <c r="H42" s="518"/>
      <c r="I42" s="519">
        <f>I26+I20+I38-0.01</f>
        <v>136430.81</v>
      </c>
    </row>
    <row r="43" spans="2:33">
      <c r="B43" s="518"/>
      <c r="C43" s="518"/>
      <c r="D43" s="518"/>
      <c r="E43" s="518"/>
      <c r="F43" s="518"/>
      <c r="G43" s="518"/>
      <c r="H43" s="518"/>
      <c r="I43" s="519"/>
    </row>
    <row r="45" spans="2:33">
      <c r="B45" s="245"/>
    </row>
    <row r="47" spans="2:33">
      <c r="J47" s="160"/>
    </row>
    <row r="48" spans="2:33">
      <c r="K48" s="566"/>
      <c r="L48" s="566"/>
    </row>
  </sheetData>
  <mergeCells count="29">
    <mergeCell ref="K48:L48"/>
    <mergeCell ref="B15:C15"/>
    <mergeCell ref="D15:G15"/>
    <mergeCell ref="B1:I1"/>
    <mergeCell ref="B2:I2"/>
    <mergeCell ref="B3:I3"/>
    <mergeCell ref="B4:I4"/>
    <mergeCell ref="B5:I5"/>
    <mergeCell ref="B6:I6"/>
    <mergeCell ref="B7:I7"/>
    <mergeCell ref="B9:I9"/>
    <mergeCell ref="B10:I10"/>
    <mergeCell ref="C12:I12"/>
    <mergeCell ref="C13:I13"/>
    <mergeCell ref="E38:H38"/>
    <mergeCell ref="B40:I40"/>
    <mergeCell ref="B42:H43"/>
    <mergeCell ref="I42:I43"/>
    <mergeCell ref="H17:I17"/>
    <mergeCell ref="E20:H20"/>
    <mergeCell ref="B24:I24"/>
    <mergeCell ref="E26:H26"/>
    <mergeCell ref="B36:I36"/>
    <mergeCell ref="B17:B18"/>
    <mergeCell ref="C17:C18"/>
    <mergeCell ref="D17:D18"/>
    <mergeCell ref="E17:E18"/>
    <mergeCell ref="F17:F18"/>
    <mergeCell ref="G17:G18"/>
  </mergeCells>
  <printOptions horizontalCentered="1"/>
  <pageMargins left="0.25" right="0.25" top="0.75" bottom="0.75" header="0.3" footer="0.3"/>
  <pageSetup paperSize="9" scale="64" orientation="portrait" horizontalDpi="4294967293" vertic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2:AN197"/>
  <sheetViews>
    <sheetView view="pageBreakPreview" topLeftCell="A162" zoomScaleSheetLayoutView="100" workbookViewId="0">
      <selection activeCell="F182" sqref="F182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5" width="3.7109375" style="200" customWidth="1"/>
    <col min="6" max="6" width="5.140625" style="200" customWidth="1"/>
    <col min="7" max="8" width="3.7109375" style="200" customWidth="1"/>
    <col min="9" max="9" width="5.85546875" style="200" customWidth="1"/>
    <col min="10" max="13" width="3.7109375" style="200" customWidth="1"/>
    <col min="14" max="15" width="3.7109375" style="199" customWidth="1"/>
    <col min="16" max="18" width="3.7109375" style="200" customWidth="1"/>
    <col min="19" max="19" width="3.7109375" style="199" customWidth="1"/>
    <col min="20" max="34" width="3.71093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399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68" t="s">
        <v>171</v>
      </c>
      <c r="B8" s="568"/>
      <c r="C8" s="568"/>
      <c r="D8" s="568"/>
      <c r="E8" s="568"/>
      <c r="F8" s="568"/>
      <c r="G8" s="568"/>
      <c r="H8" s="568"/>
      <c r="I8" s="568"/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8"/>
      <c r="AA8" s="568"/>
      <c r="AB8" s="568"/>
      <c r="AC8" s="568"/>
      <c r="AD8" s="568"/>
      <c r="AE8" s="568"/>
      <c r="AF8" s="568"/>
      <c r="AG8" s="568"/>
      <c r="AH8" s="568"/>
      <c r="AI8" s="568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0</v>
      </c>
      <c r="C10" s="543"/>
      <c r="D10" s="199" t="s">
        <v>148</v>
      </c>
      <c r="E10" s="198" t="s">
        <v>175</v>
      </c>
      <c r="F10" s="543">
        <f>AK10</f>
        <v>0</v>
      </c>
      <c r="G10" s="543"/>
      <c r="H10" s="199" t="s">
        <v>148</v>
      </c>
      <c r="I10" s="198" t="s">
        <v>176</v>
      </c>
      <c r="J10" s="543">
        <f>B10*F10</f>
        <v>0</v>
      </c>
      <c r="K10" s="543"/>
      <c r="L10" s="199" t="s">
        <v>85</v>
      </c>
      <c r="N10" s="198"/>
      <c r="O10" s="198"/>
      <c r="AJ10" s="201">
        <v>0</v>
      </c>
      <c r="AK10" s="201">
        <v>0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AJ85</f>
        <v>255.35</v>
      </c>
      <c r="C16" s="530"/>
      <c r="D16" s="200" t="s">
        <v>148</v>
      </c>
      <c r="E16" s="214" t="s">
        <v>175</v>
      </c>
      <c r="F16" s="205"/>
      <c r="G16" s="543">
        <f>AK85</f>
        <v>6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0">
      <c r="A17" s="200" t="s">
        <v>444</v>
      </c>
      <c r="B17" s="199"/>
      <c r="E17" s="214"/>
      <c r="F17" s="205"/>
      <c r="G17" s="199"/>
      <c r="H17" s="199"/>
      <c r="J17" s="214"/>
      <c r="K17" s="199"/>
      <c r="L17" s="199"/>
      <c r="N17" s="198"/>
      <c r="P17" s="199"/>
      <c r="AJ17" s="201"/>
      <c r="AK17" s="201"/>
      <c r="AL17" s="201"/>
      <c r="AM17" s="201"/>
      <c r="AN17" s="203"/>
    </row>
    <row r="18" spans="1:40">
      <c r="A18" s="200" t="s">
        <v>518</v>
      </c>
      <c r="B18" s="199"/>
      <c r="E18" s="525">
        <v>29.09</v>
      </c>
      <c r="F18" s="528"/>
      <c r="G18" s="199" t="s">
        <v>85</v>
      </c>
      <c r="H18" s="199"/>
      <c r="J18" s="214"/>
      <c r="K18" s="199"/>
      <c r="L18" s="199"/>
      <c r="N18" s="198"/>
      <c r="P18" s="199"/>
      <c r="AJ18" s="201"/>
      <c r="AK18" s="201"/>
      <c r="AL18" s="201"/>
      <c r="AM18" s="201"/>
      <c r="AN18" s="203"/>
    </row>
    <row r="19" spans="1:40">
      <c r="A19" s="200" t="s">
        <v>519</v>
      </c>
      <c r="B19" s="199"/>
      <c r="E19" s="525">
        <f>13.9533+13.7635</f>
        <v>27.72</v>
      </c>
      <c r="F19" s="528"/>
      <c r="G19" s="199" t="s">
        <v>85</v>
      </c>
      <c r="H19" s="199"/>
      <c r="J19" s="214"/>
      <c r="K19" s="199"/>
      <c r="L19" s="199"/>
      <c r="N19" s="198"/>
      <c r="P19" s="199"/>
      <c r="AJ19" s="201"/>
      <c r="AK19" s="201"/>
      <c r="AL19" s="201"/>
      <c r="AM19" s="201"/>
      <c r="AN19" s="203"/>
    </row>
    <row r="20" spans="1:40">
      <c r="A20" s="200" t="s">
        <v>520</v>
      </c>
      <c r="B20" s="199"/>
      <c r="E20" s="525">
        <f>11.4387+11.1175</f>
        <v>22.56</v>
      </c>
      <c r="F20" s="528"/>
      <c r="G20" s="199" t="s">
        <v>85</v>
      </c>
      <c r="H20" s="199"/>
      <c r="J20" s="214"/>
      <c r="K20" s="199"/>
      <c r="L20" s="199"/>
      <c r="N20" s="198"/>
      <c r="P20" s="199"/>
      <c r="AJ20" s="201"/>
      <c r="AK20" s="201"/>
      <c r="AL20" s="201"/>
      <c r="AM20" s="201"/>
      <c r="AN20" s="203"/>
    </row>
    <row r="21" spans="1:40">
      <c r="A21" s="200" t="s">
        <v>521</v>
      </c>
      <c r="B21" s="199"/>
      <c r="E21" s="525">
        <f>19.5638+16.4464</f>
        <v>36.01</v>
      </c>
      <c r="F21" s="528"/>
      <c r="G21" s="199" t="s">
        <v>85</v>
      </c>
      <c r="H21" s="199"/>
      <c r="J21" s="214"/>
      <c r="K21" s="199"/>
      <c r="L21" s="199"/>
      <c r="N21" s="198"/>
      <c r="P21" s="199"/>
      <c r="AJ21" s="201"/>
      <c r="AK21" s="201"/>
      <c r="AL21" s="201"/>
      <c r="AM21" s="201"/>
      <c r="AN21" s="203"/>
    </row>
    <row r="22" spans="1:40">
      <c r="A22" s="200" t="s">
        <v>185</v>
      </c>
      <c r="B22" s="204"/>
      <c r="C22" s="525">
        <f>B16*G16+E18+E19+E20+E21</f>
        <v>1647.48</v>
      </c>
      <c r="D22" s="525"/>
      <c r="E22" s="525"/>
      <c r="F22" s="206" t="s">
        <v>85</v>
      </c>
      <c r="AJ22" s="201"/>
      <c r="AK22" s="202"/>
      <c r="AL22" s="202"/>
      <c r="AM22" s="203"/>
      <c r="AN22" s="203"/>
    </row>
    <row r="23" spans="1:40">
      <c r="F23" s="216"/>
      <c r="G23" s="216"/>
      <c r="N23" s="200"/>
      <c r="O23" s="200"/>
      <c r="S23" s="200"/>
      <c r="AJ23" s="201"/>
      <c r="AK23" s="202"/>
      <c r="AL23" s="202"/>
      <c r="AM23" s="203"/>
      <c r="AN23" s="203"/>
    </row>
    <row r="24" spans="1:40" ht="15">
      <c r="A24" s="542" t="s">
        <v>428</v>
      </c>
      <c r="B24" s="542"/>
      <c r="C24" s="542"/>
      <c r="D24" s="542"/>
      <c r="E24" s="542"/>
      <c r="F24" s="542"/>
      <c r="G24" s="54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2"/>
      <c r="T24" s="542"/>
      <c r="U24" s="542"/>
      <c r="V24" s="542"/>
      <c r="W24" s="542"/>
      <c r="X24" s="542"/>
      <c r="Y24" s="542"/>
      <c r="Z24" s="542"/>
      <c r="AA24" s="542"/>
      <c r="AB24" s="542"/>
      <c r="AC24" s="542"/>
      <c r="AD24" s="542"/>
      <c r="AE24" s="542"/>
      <c r="AF24" s="542"/>
      <c r="AG24" s="542"/>
      <c r="AH24" s="542"/>
      <c r="AI24" s="542"/>
      <c r="AJ24" s="201"/>
      <c r="AK24" s="202"/>
      <c r="AL24" s="202"/>
      <c r="AM24" s="203"/>
      <c r="AN24" s="203"/>
    </row>
    <row r="25" spans="1:40">
      <c r="AJ25" s="201"/>
      <c r="AK25" s="202"/>
      <c r="AL25" s="202"/>
      <c r="AM25" s="203"/>
      <c r="AN25" s="203"/>
    </row>
    <row r="26" spans="1:40">
      <c r="A26" s="530" t="s">
        <v>442</v>
      </c>
      <c r="B26" s="530"/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0"/>
      <c r="R26" s="530"/>
      <c r="S26" s="530"/>
      <c r="T26" s="530"/>
      <c r="U26" s="530"/>
      <c r="V26" s="530"/>
      <c r="W26" s="530"/>
      <c r="X26" s="530"/>
      <c r="Y26" s="530"/>
      <c r="Z26" s="530"/>
      <c r="AA26" s="530"/>
      <c r="AB26" s="530"/>
      <c r="AC26" s="530"/>
      <c r="AD26" s="530"/>
      <c r="AE26" s="530"/>
      <c r="AF26" s="530"/>
      <c r="AG26" s="530"/>
      <c r="AH26" s="530"/>
      <c r="AI26" s="530"/>
      <c r="AJ26" s="201"/>
      <c r="AK26" s="202"/>
      <c r="AL26" s="202"/>
      <c r="AM26" s="203"/>
      <c r="AN26" s="203"/>
    </row>
    <row r="27" spans="1:40">
      <c r="AJ27" s="201" t="s">
        <v>178</v>
      </c>
      <c r="AK27" s="202"/>
      <c r="AL27" s="202"/>
      <c r="AM27" s="203"/>
      <c r="AN27" s="203"/>
    </row>
    <row r="28" spans="1:40">
      <c r="A28" s="200" t="s">
        <v>179</v>
      </c>
      <c r="B28" s="543">
        <f>AJ28</f>
        <v>2</v>
      </c>
      <c r="C28" s="543"/>
      <c r="D28" s="200" t="s">
        <v>102</v>
      </c>
      <c r="AJ28" s="201">
        <v>2</v>
      </c>
      <c r="AK28" s="202"/>
      <c r="AL28" s="202"/>
      <c r="AM28" s="203"/>
      <c r="AN28" s="203"/>
    </row>
    <row r="29" spans="1:40">
      <c r="AJ29" s="201"/>
      <c r="AK29" s="202"/>
      <c r="AL29" s="202"/>
      <c r="AM29" s="203"/>
      <c r="AN29" s="203"/>
    </row>
    <row r="30" spans="1:40" s="197" customFormat="1" ht="15" hidden="1">
      <c r="A30" s="559" t="s">
        <v>232</v>
      </c>
      <c r="B30" s="559"/>
      <c r="C30" s="559"/>
      <c r="D30" s="559"/>
      <c r="E30" s="559"/>
      <c r="F30" s="559"/>
      <c r="G30" s="559"/>
      <c r="H30" s="559"/>
      <c r="I30" s="559"/>
      <c r="J30" s="559"/>
      <c r="K30" s="559"/>
      <c r="L30" s="559"/>
      <c r="M30" s="559"/>
      <c r="N30" s="559"/>
      <c r="O30" s="559"/>
      <c r="P30" s="559"/>
      <c r="Q30" s="559"/>
      <c r="R30" s="559"/>
      <c r="S30" s="559"/>
      <c r="T30" s="559"/>
      <c r="U30" s="559"/>
      <c r="V30" s="559"/>
      <c r="W30" s="559"/>
      <c r="X30" s="559"/>
      <c r="Y30" s="559"/>
      <c r="Z30" s="559"/>
      <c r="AA30" s="559"/>
      <c r="AB30" s="559"/>
      <c r="AC30" s="559"/>
      <c r="AD30" s="559"/>
      <c r="AE30" s="559"/>
      <c r="AF30" s="559"/>
      <c r="AG30" s="559"/>
      <c r="AH30" s="559"/>
      <c r="AI30" s="559"/>
      <c r="AJ30" s="207"/>
      <c r="AK30" s="208"/>
      <c r="AL30" s="208"/>
      <c r="AM30" s="209"/>
      <c r="AN30" s="209"/>
    </row>
    <row r="31" spans="1:40" s="197" customFormat="1" hidden="1">
      <c r="N31" s="210"/>
      <c r="O31" s="210"/>
      <c r="S31" s="210"/>
      <c r="AJ31" s="207"/>
      <c r="AK31" s="208"/>
      <c r="AL31" s="208"/>
      <c r="AM31" s="209"/>
      <c r="AN31" s="209"/>
    </row>
    <row r="32" spans="1:40" s="197" customFormat="1" hidden="1">
      <c r="A32" s="558" t="s">
        <v>233</v>
      </c>
      <c r="B32" s="558"/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8"/>
      <c r="R32" s="558"/>
      <c r="S32" s="558"/>
      <c r="T32" s="558"/>
      <c r="U32" s="558"/>
      <c r="V32" s="558"/>
      <c r="W32" s="558"/>
      <c r="X32" s="558"/>
      <c r="Y32" s="558"/>
      <c r="Z32" s="558"/>
      <c r="AA32" s="558"/>
      <c r="AB32" s="558"/>
      <c r="AC32" s="558"/>
      <c r="AD32" s="558"/>
      <c r="AE32" s="558"/>
      <c r="AF32" s="558"/>
      <c r="AG32" s="558"/>
      <c r="AH32" s="558"/>
      <c r="AI32" s="558"/>
      <c r="AJ32" s="207"/>
      <c r="AK32" s="208"/>
      <c r="AL32" s="208"/>
      <c r="AM32" s="209"/>
      <c r="AN32" s="209"/>
    </row>
    <row r="33" spans="1:40" s="197" customFormat="1" hidden="1">
      <c r="N33" s="210"/>
      <c r="O33" s="210"/>
      <c r="S33" s="210"/>
      <c r="AJ33" s="207" t="s">
        <v>234</v>
      </c>
      <c r="AK33" s="208"/>
      <c r="AL33" s="208"/>
      <c r="AM33" s="209"/>
      <c r="AN33" s="209"/>
    </row>
    <row r="34" spans="1:40" s="197" customFormat="1" hidden="1">
      <c r="A34" s="197" t="s">
        <v>235</v>
      </c>
      <c r="B34" s="560">
        <f>AJ34</f>
        <v>1</v>
      </c>
      <c r="C34" s="560"/>
      <c r="D34" s="558" t="s">
        <v>102</v>
      </c>
      <c r="E34" s="558"/>
      <c r="N34" s="210"/>
      <c r="O34" s="210"/>
      <c r="S34" s="210"/>
      <c r="AJ34" s="207">
        <v>1</v>
      </c>
      <c r="AK34" s="208"/>
      <c r="AL34" s="208"/>
      <c r="AM34" s="209"/>
      <c r="AN34" s="209"/>
    </row>
    <row r="35" spans="1:40" s="197" customFormat="1" hidden="1">
      <c r="N35" s="210"/>
      <c r="O35" s="210"/>
      <c r="S35" s="210"/>
      <c r="AJ35" s="207"/>
      <c r="AK35" s="208"/>
      <c r="AL35" s="208"/>
      <c r="AM35" s="209"/>
      <c r="AN35" s="209"/>
    </row>
    <row r="36" spans="1:40" s="197" customFormat="1" hidden="1">
      <c r="N36" s="210"/>
      <c r="O36" s="210"/>
      <c r="S36" s="210"/>
      <c r="AJ36" s="207"/>
      <c r="AK36" s="208"/>
      <c r="AL36" s="208"/>
      <c r="AM36" s="209"/>
      <c r="AN36" s="209"/>
    </row>
    <row r="37" spans="1:40" s="197" customFormat="1" ht="15" hidden="1">
      <c r="A37" s="559" t="s">
        <v>236</v>
      </c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559"/>
      <c r="AC37" s="559"/>
      <c r="AD37" s="559"/>
      <c r="AE37" s="559"/>
      <c r="AF37" s="559"/>
      <c r="AG37" s="559"/>
      <c r="AH37" s="559"/>
      <c r="AI37" s="559"/>
      <c r="AJ37" s="207"/>
      <c r="AK37" s="208"/>
      <c r="AL37" s="208"/>
      <c r="AM37" s="209"/>
      <c r="AN37" s="209"/>
    </row>
    <row r="38" spans="1:40" s="197" customFormat="1" hidden="1">
      <c r="N38" s="210"/>
      <c r="O38" s="210"/>
      <c r="S38" s="210"/>
      <c r="AJ38" s="207"/>
      <c r="AK38" s="208"/>
      <c r="AL38" s="208"/>
      <c r="AM38" s="209"/>
      <c r="AN38" s="209"/>
    </row>
    <row r="39" spans="1:40" s="197" customFormat="1" hidden="1">
      <c r="A39" s="558" t="s">
        <v>233</v>
      </c>
      <c r="B39" s="558"/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  <c r="N39" s="558"/>
      <c r="O39" s="558"/>
      <c r="P39" s="558"/>
      <c r="Q39" s="558"/>
      <c r="R39" s="558"/>
      <c r="S39" s="558"/>
      <c r="T39" s="558"/>
      <c r="U39" s="558"/>
      <c r="V39" s="558"/>
      <c r="W39" s="558"/>
      <c r="X39" s="558"/>
      <c r="Y39" s="558"/>
      <c r="Z39" s="558"/>
      <c r="AA39" s="558"/>
      <c r="AB39" s="558"/>
      <c r="AC39" s="558"/>
      <c r="AD39" s="558"/>
      <c r="AE39" s="558"/>
      <c r="AF39" s="558"/>
      <c r="AG39" s="558"/>
      <c r="AH39" s="558"/>
      <c r="AI39" s="558"/>
      <c r="AJ39" s="207"/>
      <c r="AK39" s="208"/>
      <c r="AL39" s="208"/>
      <c r="AM39" s="209"/>
      <c r="AN39" s="209"/>
    </row>
    <row r="40" spans="1:40" s="197" customFormat="1" hidden="1">
      <c r="G40" s="197" t="e">
        <f>'MEMORIAL 10'!B24:D190</f>
        <v>#VALUE!</v>
      </c>
      <c r="N40" s="210"/>
      <c r="O40" s="210"/>
      <c r="S40" s="210"/>
      <c r="AJ40" s="207" t="s">
        <v>234</v>
      </c>
      <c r="AK40" s="208"/>
      <c r="AL40" s="208"/>
      <c r="AM40" s="209"/>
      <c r="AN40" s="209"/>
    </row>
    <row r="41" spans="1:40" s="197" customFormat="1" hidden="1">
      <c r="A41" s="197" t="s">
        <v>235</v>
      </c>
      <c r="B41" s="560">
        <f>AJ41</f>
        <v>1</v>
      </c>
      <c r="C41" s="560"/>
      <c r="D41" s="558" t="s">
        <v>102</v>
      </c>
      <c r="E41" s="558"/>
      <c r="N41" s="210"/>
      <c r="O41" s="210"/>
      <c r="S41" s="210"/>
      <c r="AJ41" s="207">
        <v>1</v>
      </c>
      <c r="AK41" s="208"/>
      <c r="AL41" s="208"/>
      <c r="AM41" s="209"/>
      <c r="AN41" s="209"/>
    </row>
    <row r="42" spans="1:40" s="197" customFormat="1" hidden="1">
      <c r="N42" s="210"/>
      <c r="O42" s="210"/>
      <c r="S42" s="210"/>
      <c r="AJ42" s="207"/>
      <c r="AK42" s="208"/>
      <c r="AL42" s="208"/>
      <c r="AM42" s="209"/>
      <c r="AN42" s="209"/>
    </row>
    <row r="43" spans="1:40" s="197" customFormat="1" hidden="1">
      <c r="N43" s="210"/>
      <c r="O43" s="210"/>
      <c r="S43" s="210"/>
      <c r="AJ43" s="207"/>
      <c r="AK43" s="208"/>
      <c r="AL43" s="208"/>
      <c r="AM43" s="209"/>
      <c r="AN43" s="209"/>
    </row>
    <row r="44" spans="1:40" s="197" customFormat="1" ht="15" hidden="1">
      <c r="A44" s="559" t="s">
        <v>237</v>
      </c>
      <c r="B44" s="559"/>
      <c r="C44" s="559"/>
      <c r="D44" s="559"/>
      <c r="E44" s="559"/>
      <c r="F44" s="559"/>
      <c r="G44" s="559"/>
      <c r="H44" s="559"/>
      <c r="I44" s="559"/>
      <c r="J44" s="559"/>
      <c r="K44" s="559"/>
      <c r="L44" s="559"/>
      <c r="M44" s="559"/>
      <c r="N44" s="559"/>
      <c r="O44" s="559"/>
      <c r="P44" s="559"/>
      <c r="Q44" s="559"/>
      <c r="R44" s="559"/>
      <c r="S44" s="559"/>
      <c r="T44" s="559"/>
      <c r="U44" s="559"/>
      <c r="V44" s="559"/>
      <c r="W44" s="559"/>
      <c r="X44" s="559"/>
      <c r="Y44" s="559"/>
      <c r="Z44" s="559"/>
      <c r="AA44" s="559"/>
      <c r="AB44" s="559"/>
      <c r="AC44" s="559"/>
      <c r="AD44" s="559"/>
      <c r="AE44" s="559"/>
      <c r="AF44" s="559"/>
      <c r="AG44" s="559"/>
      <c r="AH44" s="559"/>
      <c r="AI44" s="559"/>
      <c r="AJ44" s="207"/>
      <c r="AK44" s="208"/>
      <c r="AL44" s="208"/>
      <c r="AM44" s="209"/>
      <c r="AN44" s="209"/>
    </row>
    <row r="45" spans="1:40" s="197" customFormat="1" hidden="1">
      <c r="N45" s="210"/>
      <c r="O45" s="210"/>
      <c r="S45" s="210"/>
      <c r="AJ45" s="207"/>
      <c r="AK45" s="208"/>
      <c r="AL45" s="208"/>
      <c r="AM45" s="209"/>
      <c r="AN45" s="209"/>
    </row>
    <row r="46" spans="1:40" s="197" customFormat="1" hidden="1">
      <c r="A46" s="558" t="s">
        <v>233</v>
      </c>
      <c r="B46" s="558"/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558"/>
      <c r="N46" s="558"/>
      <c r="O46" s="558"/>
      <c r="P46" s="558"/>
      <c r="Q46" s="558"/>
      <c r="R46" s="558"/>
      <c r="S46" s="558"/>
      <c r="T46" s="558"/>
      <c r="U46" s="558"/>
      <c r="V46" s="558"/>
      <c r="W46" s="558"/>
      <c r="X46" s="558"/>
      <c r="Y46" s="558"/>
      <c r="Z46" s="558"/>
      <c r="AA46" s="558"/>
      <c r="AB46" s="558"/>
      <c r="AC46" s="558"/>
      <c r="AD46" s="558"/>
      <c r="AE46" s="558"/>
      <c r="AF46" s="558"/>
      <c r="AG46" s="558"/>
      <c r="AH46" s="558"/>
      <c r="AI46" s="558"/>
      <c r="AJ46" s="207"/>
      <c r="AK46" s="208"/>
      <c r="AL46" s="208"/>
      <c r="AM46" s="209"/>
      <c r="AN46" s="209"/>
    </row>
    <row r="47" spans="1:40" s="197" customFormat="1" hidden="1">
      <c r="N47" s="210"/>
      <c r="O47" s="210"/>
      <c r="S47" s="210"/>
      <c r="AJ47" s="207" t="s">
        <v>234</v>
      </c>
      <c r="AK47" s="208"/>
      <c r="AL47" s="208"/>
      <c r="AM47" s="209"/>
      <c r="AN47" s="209"/>
    </row>
    <row r="48" spans="1:40" s="197" customFormat="1" hidden="1">
      <c r="A48" s="197" t="s">
        <v>235</v>
      </c>
      <c r="B48" s="560">
        <f>AJ48</f>
        <v>1</v>
      </c>
      <c r="C48" s="560"/>
      <c r="D48" s="558" t="s">
        <v>102</v>
      </c>
      <c r="E48" s="558"/>
      <c r="N48" s="210"/>
      <c r="O48" s="210"/>
      <c r="S48" s="210"/>
      <c r="AJ48" s="207">
        <v>1</v>
      </c>
      <c r="AK48" s="208"/>
      <c r="AL48" s="208"/>
      <c r="AM48" s="209"/>
      <c r="AN48" s="209"/>
    </row>
    <row r="49" spans="1:40" s="197" customFormat="1" hidden="1">
      <c r="N49" s="210"/>
      <c r="O49" s="210"/>
      <c r="S49" s="210"/>
      <c r="AJ49" s="211"/>
      <c r="AK49" s="208"/>
      <c r="AL49" s="208"/>
      <c r="AM49" s="209"/>
      <c r="AN49" s="209"/>
    </row>
    <row r="50" spans="1:40" s="197" customFormat="1" hidden="1">
      <c r="N50" s="210"/>
      <c r="O50" s="210"/>
      <c r="S50" s="210"/>
      <c r="AJ50" s="211"/>
      <c r="AK50" s="208"/>
      <c r="AL50" s="208"/>
      <c r="AM50" s="209"/>
      <c r="AN50" s="209"/>
    </row>
    <row r="51" spans="1:40" s="197" customFormat="1" ht="15" hidden="1">
      <c r="A51" s="559" t="s">
        <v>238</v>
      </c>
      <c r="B51" s="559"/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559"/>
      <c r="P51" s="559"/>
      <c r="Q51" s="559"/>
      <c r="R51" s="559"/>
      <c r="S51" s="559"/>
      <c r="T51" s="559"/>
      <c r="U51" s="559"/>
      <c r="V51" s="559"/>
      <c r="W51" s="559"/>
      <c r="X51" s="559"/>
      <c r="Y51" s="559"/>
      <c r="Z51" s="559"/>
      <c r="AA51" s="559"/>
      <c r="AB51" s="559"/>
      <c r="AC51" s="559"/>
      <c r="AD51" s="559"/>
      <c r="AE51" s="559"/>
      <c r="AF51" s="559"/>
      <c r="AG51" s="559"/>
      <c r="AH51" s="559"/>
      <c r="AI51" s="559"/>
      <c r="AJ51" s="211"/>
      <c r="AK51" s="208"/>
      <c r="AL51" s="208"/>
      <c r="AM51" s="209"/>
      <c r="AN51" s="209"/>
    </row>
    <row r="52" spans="1:40" s="197" customFormat="1" hidden="1">
      <c r="N52" s="210"/>
      <c r="O52" s="210"/>
      <c r="S52" s="210"/>
      <c r="AJ52" s="211"/>
      <c r="AK52" s="208"/>
      <c r="AL52" s="208"/>
      <c r="AM52" s="209"/>
      <c r="AN52" s="209"/>
    </row>
    <row r="53" spans="1:40" s="197" customFormat="1" hidden="1">
      <c r="A53" s="558" t="s">
        <v>233</v>
      </c>
      <c r="B53" s="558"/>
      <c r="C53" s="558"/>
      <c r="D53" s="558"/>
      <c r="E53" s="558"/>
      <c r="F53" s="558"/>
      <c r="G53" s="558"/>
      <c r="H53" s="558"/>
      <c r="I53" s="558"/>
      <c r="J53" s="558"/>
      <c r="K53" s="558"/>
      <c r="L53" s="558"/>
      <c r="M53" s="558"/>
      <c r="N53" s="558"/>
      <c r="O53" s="558"/>
      <c r="P53" s="558"/>
      <c r="Q53" s="558"/>
      <c r="R53" s="558"/>
      <c r="S53" s="558"/>
      <c r="T53" s="558"/>
      <c r="U53" s="558"/>
      <c r="V53" s="558"/>
      <c r="W53" s="558"/>
      <c r="X53" s="558"/>
      <c r="Y53" s="558"/>
      <c r="Z53" s="558"/>
      <c r="AA53" s="558"/>
      <c r="AB53" s="558"/>
      <c r="AC53" s="558"/>
      <c r="AD53" s="558"/>
      <c r="AE53" s="558"/>
      <c r="AF53" s="558"/>
      <c r="AG53" s="558"/>
      <c r="AH53" s="558"/>
      <c r="AI53" s="558"/>
      <c r="AJ53" s="211"/>
      <c r="AK53" s="208"/>
      <c r="AL53" s="208"/>
      <c r="AM53" s="209"/>
      <c r="AN53" s="209"/>
    </row>
    <row r="54" spans="1:40" s="197" customFormat="1" hidden="1">
      <c r="N54" s="210"/>
      <c r="O54" s="210"/>
      <c r="S54" s="210"/>
      <c r="AJ54" s="207" t="s">
        <v>234</v>
      </c>
      <c r="AK54" s="208"/>
      <c r="AL54" s="208"/>
      <c r="AM54" s="209"/>
      <c r="AN54" s="209"/>
    </row>
    <row r="55" spans="1:40" s="197" customFormat="1" hidden="1">
      <c r="A55" s="197" t="s">
        <v>235</v>
      </c>
      <c r="B55" s="560">
        <f>AJ55</f>
        <v>1</v>
      </c>
      <c r="C55" s="560"/>
      <c r="D55" s="558" t="s">
        <v>102</v>
      </c>
      <c r="E55" s="558"/>
      <c r="N55" s="210"/>
      <c r="O55" s="210"/>
      <c r="S55" s="210"/>
      <c r="AJ55" s="207">
        <v>1</v>
      </c>
      <c r="AK55" s="208"/>
      <c r="AL55" s="208"/>
      <c r="AM55" s="209"/>
      <c r="AN55" s="209"/>
    </row>
    <row r="56" spans="1:40" s="197" customFormat="1" hidden="1">
      <c r="N56" s="210"/>
      <c r="O56" s="210"/>
      <c r="S56" s="210"/>
      <c r="AJ56" s="207"/>
      <c r="AK56" s="208"/>
      <c r="AL56" s="208"/>
      <c r="AM56" s="209"/>
      <c r="AN56" s="209"/>
    </row>
    <row r="57" spans="1:40" s="197" customFormat="1" hidden="1">
      <c r="N57" s="210"/>
      <c r="O57" s="210"/>
      <c r="S57" s="210"/>
      <c r="AJ57" s="207"/>
      <c r="AK57" s="208"/>
      <c r="AL57" s="208"/>
      <c r="AM57" s="209"/>
      <c r="AN57" s="209"/>
    </row>
    <row r="58" spans="1:40" s="197" customFormat="1" ht="15" hidden="1">
      <c r="A58" s="559" t="s">
        <v>239</v>
      </c>
      <c r="B58" s="559"/>
      <c r="C58" s="559"/>
      <c r="D58" s="559"/>
      <c r="E58" s="559"/>
      <c r="F58" s="559"/>
      <c r="G58" s="559"/>
      <c r="H58" s="559"/>
      <c r="I58" s="559"/>
      <c r="J58" s="559"/>
      <c r="K58" s="559"/>
      <c r="L58" s="559"/>
      <c r="M58" s="559"/>
      <c r="N58" s="559"/>
      <c r="O58" s="559"/>
      <c r="P58" s="559"/>
      <c r="Q58" s="559"/>
      <c r="R58" s="559"/>
      <c r="S58" s="559"/>
      <c r="T58" s="559"/>
      <c r="U58" s="559"/>
      <c r="V58" s="559"/>
      <c r="W58" s="559"/>
      <c r="X58" s="559"/>
      <c r="Y58" s="559"/>
      <c r="Z58" s="559"/>
      <c r="AA58" s="559"/>
      <c r="AB58" s="559"/>
      <c r="AC58" s="559"/>
      <c r="AD58" s="559"/>
      <c r="AE58" s="559"/>
      <c r="AF58" s="559"/>
      <c r="AG58" s="559"/>
      <c r="AH58" s="559"/>
      <c r="AI58" s="559"/>
      <c r="AJ58" s="207"/>
      <c r="AK58" s="208"/>
      <c r="AL58" s="208"/>
      <c r="AM58" s="209"/>
      <c r="AN58" s="209"/>
    </row>
    <row r="59" spans="1:40" s="197" customFormat="1" hidden="1">
      <c r="N59" s="210"/>
      <c r="O59" s="210"/>
      <c r="S59" s="210"/>
      <c r="AJ59" s="207"/>
      <c r="AK59" s="208"/>
      <c r="AL59" s="208"/>
      <c r="AM59" s="209"/>
      <c r="AN59" s="209"/>
    </row>
    <row r="60" spans="1:40" s="197" customFormat="1" hidden="1">
      <c r="A60" s="558" t="s">
        <v>233</v>
      </c>
      <c r="B60" s="558"/>
      <c r="C60" s="558"/>
      <c r="D60" s="558"/>
      <c r="E60" s="558"/>
      <c r="F60" s="558"/>
      <c r="G60" s="558"/>
      <c r="H60" s="558"/>
      <c r="I60" s="558"/>
      <c r="J60" s="558"/>
      <c r="K60" s="558"/>
      <c r="L60" s="558"/>
      <c r="M60" s="558"/>
      <c r="N60" s="558"/>
      <c r="O60" s="558"/>
      <c r="P60" s="558"/>
      <c r="Q60" s="558"/>
      <c r="R60" s="558"/>
      <c r="S60" s="558"/>
      <c r="T60" s="558"/>
      <c r="U60" s="558"/>
      <c r="V60" s="558"/>
      <c r="W60" s="558"/>
      <c r="X60" s="558"/>
      <c r="Y60" s="558"/>
      <c r="Z60" s="558"/>
      <c r="AA60" s="558"/>
      <c r="AB60" s="558"/>
      <c r="AC60" s="558"/>
      <c r="AD60" s="558"/>
      <c r="AE60" s="558"/>
      <c r="AF60" s="558"/>
      <c r="AG60" s="558"/>
      <c r="AH60" s="558"/>
      <c r="AI60" s="558"/>
      <c r="AJ60" s="207"/>
      <c r="AK60" s="208"/>
      <c r="AL60" s="208"/>
      <c r="AM60" s="209"/>
      <c r="AN60" s="209"/>
    </row>
    <row r="61" spans="1:40" s="197" customFormat="1" hidden="1">
      <c r="N61" s="210"/>
      <c r="O61" s="210"/>
      <c r="S61" s="210"/>
      <c r="AJ61" s="207" t="s">
        <v>234</v>
      </c>
      <c r="AK61" s="208"/>
      <c r="AL61" s="208"/>
      <c r="AM61" s="209"/>
      <c r="AN61" s="209"/>
    </row>
    <row r="62" spans="1:40" s="197" customFormat="1" hidden="1">
      <c r="A62" s="197" t="s">
        <v>235</v>
      </c>
      <c r="B62" s="560">
        <f>AJ62</f>
        <v>1</v>
      </c>
      <c r="C62" s="560"/>
      <c r="D62" s="558" t="s">
        <v>102</v>
      </c>
      <c r="E62" s="558"/>
      <c r="N62" s="210"/>
      <c r="O62" s="210"/>
      <c r="S62" s="210"/>
      <c r="AJ62" s="207">
        <v>1</v>
      </c>
      <c r="AK62" s="208"/>
      <c r="AL62" s="208"/>
      <c r="AM62" s="209"/>
      <c r="AN62" s="209"/>
    </row>
    <row r="63" spans="1:40" s="197" customFormat="1" hidden="1">
      <c r="N63" s="210"/>
      <c r="O63" s="210"/>
      <c r="S63" s="210"/>
      <c r="AJ63" s="207"/>
      <c r="AK63" s="208"/>
      <c r="AL63" s="208"/>
      <c r="AM63" s="209"/>
      <c r="AN63" s="209"/>
    </row>
    <row r="64" spans="1:40" s="197" customFormat="1" hidden="1">
      <c r="N64" s="210"/>
      <c r="O64" s="210"/>
      <c r="S64" s="210"/>
      <c r="AJ64" s="207"/>
      <c r="AK64" s="208"/>
      <c r="AL64" s="208"/>
      <c r="AM64" s="209"/>
      <c r="AN64" s="209"/>
    </row>
    <row r="65" spans="1:40" ht="15">
      <c r="A65" s="539" t="s">
        <v>180</v>
      </c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1"/>
      <c r="AJ65" s="201"/>
      <c r="AK65" s="202"/>
      <c r="AL65" s="202"/>
      <c r="AM65" s="203"/>
      <c r="AN65" s="203"/>
    </row>
    <row r="66" spans="1:40">
      <c r="AJ66" s="201"/>
      <c r="AK66" s="202"/>
      <c r="AL66" s="202"/>
      <c r="AM66" s="203"/>
      <c r="AN66" s="203"/>
    </row>
    <row r="67" spans="1:40" ht="15">
      <c r="A67" s="542" t="s">
        <v>409</v>
      </c>
      <c r="B67" s="542"/>
      <c r="C67" s="542"/>
      <c r="D67" s="542"/>
      <c r="E67" s="542"/>
      <c r="F67" s="542"/>
      <c r="G67" s="542"/>
      <c r="H67" s="542"/>
      <c r="I67" s="542"/>
      <c r="J67" s="542"/>
      <c r="K67" s="542"/>
      <c r="L67" s="542"/>
      <c r="M67" s="542"/>
      <c r="N67" s="542"/>
      <c r="O67" s="542"/>
      <c r="P67" s="542"/>
      <c r="Q67" s="542"/>
      <c r="R67" s="542"/>
      <c r="S67" s="542"/>
      <c r="T67" s="542"/>
      <c r="U67" s="542"/>
      <c r="V67" s="542"/>
      <c r="W67" s="542"/>
      <c r="X67" s="542"/>
      <c r="Y67" s="542"/>
      <c r="Z67" s="542"/>
      <c r="AA67" s="542"/>
      <c r="AB67" s="542"/>
      <c r="AC67" s="542"/>
      <c r="AD67" s="542"/>
      <c r="AE67" s="542"/>
      <c r="AF67" s="542"/>
      <c r="AG67" s="542"/>
      <c r="AH67" s="542"/>
      <c r="AI67" s="542"/>
      <c r="AJ67" s="201"/>
      <c r="AK67" s="202"/>
      <c r="AL67" s="202"/>
      <c r="AM67" s="203"/>
      <c r="AN67" s="203"/>
    </row>
    <row r="68" spans="1:40">
      <c r="AJ68" s="201"/>
      <c r="AK68" s="202"/>
      <c r="AL68" s="202"/>
      <c r="AM68" s="203"/>
      <c r="AN68" s="203"/>
    </row>
    <row r="69" spans="1:40">
      <c r="A69" s="530" t="s">
        <v>248</v>
      </c>
      <c r="B69" s="530"/>
      <c r="C69" s="530"/>
      <c r="D69" s="530"/>
      <c r="E69" s="530"/>
      <c r="F69" s="530"/>
      <c r="G69" s="530"/>
      <c r="H69" s="530"/>
      <c r="I69" s="530"/>
      <c r="J69" s="530"/>
      <c r="K69" s="530"/>
      <c r="L69" s="530"/>
      <c r="M69" s="530"/>
      <c r="N69" s="530"/>
      <c r="O69" s="530"/>
      <c r="P69" s="530"/>
      <c r="Q69" s="530"/>
      <c r="R69" s="530"/>
      <c r="S69" s="530"/>
      <c r="T69" s="530"/>
      <c r="U69" s="530"/>
      <c r="V69" s="530"/>
      <c r="W69" s="530"/>
      <c r="X69" s="530"/>
      <c r="Y69" s="530"/>
      <c r="Z69" s="530"/>
      <c r="AA69" s="530"/>
      <c r="AB69" s="530"/>
      <c r="AC69" s="530"/>
      <c r="AD69" s="530"/>
      <c r="AE69" s="530"/>
      <c r="AF69" s="530"/>
      <c r="AG69" s="530"/>
      <c r="AH69" s="530"/>
      <c r="AI69" s="530"/>
      <c r="AJ69" s="201"/>
      <c r="AK69" s="202"/>
      <c r="AL69" s="202"/>
      <c r="AM69" s="203"/>
      <c r="AN69" s="203"/>
    </row>
    <row r="70" spans="1:40">
      <c r="A70" s="526"/>
      <c r="B70" s="526"/>
      <c r="C70" s="526"/>
      <c r="D70" s="526"/>
      <c r="E70" s="526"/>
      <c r="F70" s="526"/>
      <c r="G70" s="526"/>
      <c r="H70" s="526"/>
      <c r="I70" s="526"/>
      <c r="J70" s="526"/>
      <c r="K70" s="526"/>
      <c r="L70" s="526"/>
      <c r="M70" s="526"/>
      <c r="N70" s="526"/>
      <c r="O70" s="526"/>
      <c r="P70" s="526"/>
      <c r="Q70" s="526"/>
      <c r="R70" s="526"/>
      <c r="S70" s="526"/>
      <c r="T70" s="526"/>
      <c r="U70" s="526"/>
      <c r="V70" s="526"/>
      <c r="W70" s="526"/>
      <c r="X70" s="526"/>
      <c r="Y70" s="526"/>
      <c r="Z70" s="526"/>
      <c r="AA70" s="526"/>
      <c r="AB70" s="526"/>
      <c r="AC70" s="526"/>
      <c r="AD70" s="526"/>
      <c r="AE70" s="526"/>
      <c r="AF70" s="526"/>
      <c r="AG70" s="526"/>
      <c r="AH70" s="526"/>
      <c r="AI70" s="526"/>
      <c r="AJ70" s="212"/>
      <c r="AK70" s="212"/>
      <c r="AL70" s="212"/>
      <c r="AM70" s="213"/>
      <c r="AN70" s="203"/>
    </row>
    <row r="71" spans="1:40">
      <c r="A71" s="200" t="s">
        <v>174</v>
      </c>
      <c r="B71" s="543">
        <f>AJ85</f>
        <v>255.35</v>
      </c>
      <c r="C71" s="530"/>
      <c r="D71" s="200" t="s">
        <v>148</v>
      </c>
      <c r="E71" s="214" t="s">
        <v>175</v>
      </c>
      <c r="F71" s="205"/>
      <c r="G71" s="543">
        <f>AK85</f>
        <v>6</v>
      </c>
      <c r="H71" s="543"/>
      <c r="I71" s="200" t="s">
        <v>148</v>
      </c>
      <c r="J71" s="214"/>
      <c r="K71" s="199"/>
      <c r="L71" s="199"/>
      <c r="N71" s="198"/>
      <c r="P71" s="199"/>
      <c r="AJ71" s="201"/>
      <c r="AK71" s="201"/>
      <c r="AL71" s="201"/>
      <c r="AM71" s="201"/>
      <c r="AN71" s="203"/>
    </row>
    <row r="72" spans="1:40">
      <c r="A72" s="200" t="s">
        <v>444</v>
      </c>
      <c r="B72" s="199"/>
      <c r="E72" s="214"/>
      <c r="F72" s="205"/>
      <c r="G72" s="199"/>
      <c r="H72" s="199"/>
      <c r="J72" s="214"/>
      <c r="K72" s="199"/>
      <c r="L72" s="199"/>
      <c r="N72" s="198"/>
      <c r="P72" s="199"/>
      <c r="AJ72" s="201"/>
      <c r="AK72" s="201"/>
      <c r="AL72" s="201"/>
      <c r="AM72" s="201"/>
      <c r="AN72" s="203"/>
    </row>
    <row r="73" spans="1:40">
      <c r="A73" s="200" t="s">
        <v>518</v>
      </c>
      <c r="B73" s="199"/>
      <c r="E73" s="525">
        <v>29.09</v>
      </c>
      <c r="F73" s="528"/>
      <c r="G73" s="199" t="s">
        <v>85</v>
      </c>
      <c r="H73" s="199"/>
      <c r="J73" s="214"/>
      <c r="K73" s="199"/>
      <c r="L73" s="199"/>
      <c r="N73" s="198"/>
      <c r="P73" s="199"/>
      <c r="AJ73" s="201"/>
      <c r="AK73" s="201"/>
      <c r="AL73" s="201"/>
      <c r="AM73" s="201"/>
      <c r="AN73" s="203"/>
    </row>
    <row r="74" spans="1:40">
      <c r="A74" s="200" t="s">
        <v>519</v>
      </c>
      <c r="B74" s="199"/>
      <c r="E74" s="525">
        <f>13.9533+13.7635</f>
        <v>27.72</v>
      </c>
      <c r="F74" s="528"/>
      <c r="G74" s="199" t="s">
        <v>85</v>
      </c>
      <c r="H74" s="199"/>
      <c r="J74" s="214"/>
      <c r="K74" s="199"/>
      <c r="L74" s="199"/>
      <c r="N74" s="198"/>
      <c r="P74" s="199"/>
      <c r="AJ74" s="201"/>
      <c r="AK74" s="201"/>
      <c r="AL74" s="201"/>
      <c r="AM74" s="201"/>
      <c r="AN74" s="203"/>
    </row>
    <row r="75" spans="1:40">
      <c r="A75" s="200" t="s">
        <v>520</v>
      </c>
      <c r="B75" s="199"/>
      <c r="E75" s="525">
        <f>11.4387+11.1175</f>
        <v>22.56</v>
      </c>
      <c r="F75" s="528"/>
      <c r="G75" s="199" t="s">
        <v>85</v>
      </c>
      <c r="H75" s="199"/>
      <c r="J75" s="214"/>
      <c r="K75" s="199"/>
      <c r="L75" s="199"/>
      <c r="N75" s="198"/>
      <c r="P75" s="199"/>
      <c r="AJ75" s="201"/>
      <c r="AK75" s="201"/>
      <c r="AL75" s="201"/>
      <c r="AM75" s="201"/>
      <c r="AN75" s="203"/>
    </row>
    <row r="76" spans="1:40">
      <c r="A76" s="200" t="s">
        <v>521</v>
      </c>
      <c r="B76" s="199"/>
      <c r="E76" s="525">
        <f>19.5638+16.4464</f>
        <v>36.01</v>
      </c>
      <c r="F76" s="528"/>
      <c r="G76" s="199" t="s">
        <v>85</v>
      </c>
      <c r="H76" s="199"/>
      <c r="J76" s="214"/>
      <c r="K76" s="199"/>
      <c r="L76" s="199"/>
      <c r="N76" s="198"/>
      <c r="P76" s="199"/>
      <c r="AJ76" s="201"/>
      <c r="AK76" s="201"/>
      <c r="AL76" s="201"/>
      <c r="AM76" s="201"/>
      <c r="AN76" s="203"/>
    </row>
    <row r="77" spans="1:40">
      <c r="B77" s="199"/>
      <c r="E77" s="198"/>
      <c r="F77" s="214"/>
      <c r="G77" s="199"/>
      <c r="H77" s="199"/>
      <c r="J77" s="214"/>
      <c r="K77" s="199"/>
      <c r="L77" s="199"/>
      <c r="N77" s="198"/>
      <c r="P77" s="199"/>
      <c r="AJ77" s="201"/>
      <c r="AK77" s="201"/>
      <c r="AL77" s="201"/>
      <c r="AM77" s="201"/>
      <c r="AN77" s="203"/>
    </row>
    <row r="78" spans="1:40">
      <c r="B78" s="199"/>
      <c r="E78" s="198"/>
      <c r="F78" s="214"/>
      <c r="G78" s="199"/>
      <c r="H78" s="199"/>
      <c r="J78" s="214"/>
      <c r="K78" s="199"/>
      <c r="L78" s="199"/>
      <c r="N78" s="198"/>
      <c r="P78" s="199"/>
      <c r="AJ78" s="201"/>
      <c r="AK78" s="201"/>
      <c r="AL78" s="201"/>
      <c r="AM78" s="201"/>
      <c r="AN78" s="203"/>
    </row>
    <row r="79" spans="1:40">
      <c r="A79" s="200" t="s">
        <v>174</v>
      </c>
      <c r="B79" s="532">
        <f>B71*G71+E73+E74+E75+E76</f>
        <v>1647.48</v>
      </c>
      <c r="C79" s="532"/>
      <c r="D79" s="532"/>
      <c r="E79" s="206" t="s">
        <v>85</v>
      </c>
      <c r="AJ79" s="201"/>
      <c r="AK79" s="202"/>
      <c r="AL79" s="202"/>
      <c r="AM79" s="203"/>
      <c r="AN79" s="203"/>
    </row>
    <row r="80" spans="1:40">
      <c r="F80" s="216"/>
      <c r="G80" s="216"/>
      <c r="N80" s="200"/>
      <c r="O80" s="200"/>
      <c r="S80" s="200"/>
      <c r="AJ80" s="201"/>
      <c r="AK80" s="202"/>
      <c r="AL80" s="202"/>
      <c r="AM80" s="203"/>
      <c r="AN80" s="203"/>
    </row>
    <row r="81" spans="1:40" ht="13.5" customHeight="1">
      <c r="A81" s="544" t="s">
        <v>453</v>
      </c>
      <c r="B81" s="544"/>
      <c r="C81" s="544"/>
      <c r="D81" s="544"/>
      <c r="E81" s="544"/>
      <c r="F81" s="544"/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544"/>
      <c r="U81" s="544"/>
      <c r="V81" s="544"/>
      <c r="W81" s="544"/>
      <c r="X81" s="544"/>
      <c r="Y81" s="544"/>
      <c r="Z81" s="544"/>
      <c r="AA81" s="544"/>
      <c r="AB81" s="544"/>
      <c r="AC81" s="544"/>
      <c r="AD81" s="544"/>
      <c r="AE81" s="544"/>
      <c r="AF81" s="544"/>
      <c r="AG81" s="544"/>
      <c r="AH81" s="544"/>
      <c r="AI81" s="544"/>
      <c r="AJ81" s="201"/>
      <c r="AK81" s="202"/>
      <c r="AL81" s="202"/>
      <c r="AM81" s="203"/>
      <c r="AN81" s="203"/>
    </row>
    <row r="82" spans="1:40">
      <c r="AJ82" s="201"/>
      <c r="AK82" s="202"/>
      <c r="AL82" s="202"/>
      <c r="AM82" s="203"/>
      <c r="AN82" s="203"/>
    </row>
    <row r="83" spans="1:40">
      <c r="A83" s="530" t="s">
        <v>248</v>
      </c>
      <c r="B83" s="530"/>
      <c r="C83" s="530"/>
      <c r="D83" s="530"/>
      <c r="E83" s="530"/>
      <c r="F83" s="530"/>
      <c r="G83" s="530"/>
      <c r="H83" s="530"/>
      <c r="I83" s="530"/>
      <c r="J83" s="530"/>
      <c r="K83" s="530"/>
      <c r="L83" s="530"/>
      <c r="M83" s="530"/>
      <c r="N83" s="530"/>
      <c r="O83" s="530"/>
      <c r="P83" s="530"/>
      <c r="Q83" s="530"/>
      <c r="R83" s="530"/>
      <c r="S83" s="530"/>
      <c r="T83" s="530"/>
      <c r="U83" s="530"/>
      <c r="V83" s="530"/>
      <c r="W83" s="530"/>
      <c r="X83" s="530"/>
      <c r="Y83" s="530"/>
      <c r="Z83" s="530"/>
      <c r="AA83" s="530"/>
      <c r="AB83" s="530"/>
      <c r="AC83" s="530"/>
      <c r="AD83" s="530"/>
      <c r="AE83" s="530"/>
      <c r="AF83" s="530"/>
      <c r="AG83" s="530"/>
      <c r="AH83" s="530"/>
      <c r="AI83" s="530"/>
      <c r="AJ83" s="201"/>
      <c r="AK83" s="202"/>
      <c r="AL83" s="202"/>
      <c r="AM83" s="203"/>
      <c r="AN83" s="203"/>
    </row>
    <row r="84" spans="1:40">
      <c r="AJ84" s="212" t="s">
        <v>181</v>
      </c>
      <c r="AK84" s="212" t="s">
        <v>182</v>
      </c>
      <c r="AL84" s="212" t="s">
        <v>183</v>
      </c>
      <c r="AM84" s="213" t="s">
        <v>184</v>
      </c>
      <c r="AN84" s="203"/>
    </row>
    <row r="85" spans="1:40">
      <c r="A85" s="200" t="s">
        <v>174</v>
      </c>
      <c r="B85" s="543">
        <f>AJ85</f>
        <v>255.35</v>
      </c>
      <c r="C85" s="543"/>
      <c r="D85" s="200" t="s">
        <v>148</v>
      </c>
      <c r="E85" s="214" t="s">
        <v>175</v>
      </c>
      <c r="F85" s="205"/>
      <c r="G85" s="543">
        <f>AK85</f>
        <v>6</v>
      </c>
      <c r="H85" s="543"/>
      <c r="I85" s="200" t="s">
        <v>148</v>
      </c>
      <c r="J85" s="214"/>
      <c r="K85" s="199"/>
      <c r="L85" s="199"/>
      <c r="N85" s="198"/>
      <c r="P85" s="199"/>
      <c r="AJ85" s="201">
        <v>255.35</v>
      </c>
      <c r="AK85" s="201">
        <v>6</v>
      </c>
      <c r="AL85" s="201">
        <v>1.25</v>
      </c>
      <c r="AM85" s="201">
        <v>1.25</v>
      </c>
      <c r="AN85" s="203"/>
    </row>
    <row r="86" spans="1:40">
      <c r="A86" s="200" t="s">
        <v>444</v>
      </c>
      <c r="B86" s="199"/>
      <c r="E86" s="214"/>
      <c r="F86" s="205"/>
      <c r="G86" s="199"/>
      <c r="H86" s="199"/>
      <c r="J86" s="214"/>
      <c r="K86" s="199"/>
      <c r="L86" s="199"/>
      <c r="N86" s="198"/>
      <c r="P86" s="199"/>
      <c r="AJ86" s="201"/>
      <c r="AK86" s="201"/>
      <c r="AL86" s="201"/>
      <c r="AM86" s="201"/>
      <c r="AN86" s="203"/>
    </row>
    <row r="87" spans="1:40">
      <c r="A87" s="200" t="s">
        <v>518</v>
      </c>
      <c r="B87" s="199"/>
      <c r="E87" s="525">
        <v>29.09</v>
      </c>
      <c r="F87" s="528"/>
      <c r="G87" s="199" t="s">
        <v>85</v>
      </c>
      <c r="H87" s="199"/>
      <c r="J87" s="214"/>
      <c r="K87" s="199"/>
      <c r="L87" s="199"/>
      <c r="N87" s="198"/>
      <c r="P87" s="199"/>
      <c r="AJ87" s="201"/>
      <c r="AK87" s="201"/>
      <c r="AL87" s="201"/>
      <c r="AM87" s="201"/>
      <c r="AN87" s="203"/>
    </row>
    <row r="88" spans="1:40">
      <c r="A88" s="200" t="s">
        <v>519</v>
      </c>
      <c r="B88" s="199"/>
      <c r="E88" s="525">
        <f>13.9533+13.7635</f>
        <v>27.72</v>
      </c>
      <c r="F88" s="528"/>
      <c r="G88" s="199" t="s">
        <v>85</v>
      </c>
      <c r="H88" s="199"/>
      <c r="J88" s="214"/>
      <c r="K88" s="199"/>
      <c r="L88" s="199"/>
      <c r="N88" s="198"/>
      <c r="P88" s="199"/>
      <c r="AJ88" s="201"/>
      <c r="AK88" s="201"/>
      <c r="AL88" s="201"/>
      <c r="AM88" s="201"/>
      <c r="AN88" s="203"/>
    </row>
    <row r="89" spans="1:40">
      <c r="A89" s="200" t="s">
        <v>520</v>
      </c>
      <c r="B89" s="199"/>
      <c r="E89" s="525">
        <f>11.4387+11.1175</f>
        <v>22.56</v>
      </c>
      <c r="F89" s="528"/>
      <c r="G89" s="199" t="s">
        <v>85</v>
      </c>
      <c r="H89" s="199"/>
      <c r="J89" s="214"/>
      <c r="K89" s="199"/>
      <c r="L89" s="199"/>
      <c r="N89" s="198"/>
      <c r="P89" s="199"/>
      <c r="AJ89" s="201"/>
      <c r="AK89" s="201"/>
      <c r="AL89" s="201"/>
      <c r="AM89" s="201"/>
      <c r="AN89" s="203"/>
    </row>
    <row r="90" spans="1:40">
      <c r="A90" s="200" t="s">
        <v>521</v>
      </c>
      <c r="B90" s="199"/>
      <c r="E90" s="525">
        <f>19.5638+16.4464</f>
        <v>36.01</v>
      </c>
      <c r="F90" s="528"/>
      <c r="G90" s="199" t="s">
        <v>85</v>
      </c>
      <c r="H90" s="199"/>
      <c r="J90" s="214"/>
      <c r="K90" s="199"/>
      <c r="L90" s="199"/>
      <c r="N90" s="198"/>
      <c r="P90" s="199"/>
      <c r="AJ90" s="201"/>
      <c r="AK90" s="201"/>
      <c r="AL90" s="201"/>
      <c r="AM90" s="201"/>
      <c r="AN90" s="203"/>
    </row>
    <row r="91" spans="1:40">
      <c r="B91" s="199"/>
      <c r="C91" s="199"/>
      <c r="E91" s="199"/>
      <c r="F91" s="528"/>
      <c r="G91" s="528"/>
      <c r="H91" s="199"/>
      <c r="J91" s="214"/>
      <c r="K91" s="205"/>
      <c r="L91" s="199"/>
      <c r="M91" s="199"/>
      <c r="P91" s="199"/>
      <c r="Q91" s="199"/>
      <c r="S91" s="198"/>
      <c r="T91" s="198"/>
      <c r="AJ91" s="201"/>
      <c r="AK91" s="202"/>
      <c r="AL91" s="202"/>
      <c r="AM91" s="203"/>
      <c r="AN91" s="203"/>
    </row>
    <row r="92" spans="1:40">
      <c r="A92" s="200" t="s">
        <v>174</v>
      </c>
      <c r="B92" s="543">
        <f>(B85*G85)+SUM(E87:F90)</f>
        <v>1647.48</v>
      </c>
      <c r="C92" s="543"/>
      <c r="D92" s="543"/>
      <c r="E92" s="200" t="s">
        <v>85</v>
      </c>
      <c r="AJ92" s="201"/>
      <c r="AK92" s="202"/>
      <c r="AL92" s="202"/>
      <c r="AM92" s="203"/>
      <c r="AN92" s="203"/>
    </row>
    <row r="93" spans="1:40">
      <c r="AJ93" s="201"/>
      <c r="AK93" s="202">
        <f>AJ85*AK85</f>
        <v>1532.1</v>
      </c>
      <c r="AL93" s="202"/>
      <c r="AM93" s="203"/>
      <c r="AN93" s="203"/>
    </row>
    <row r="94" spans="1:40" ht="14.25" customHeight="1">
      <c r="A94" s="544" t="s">
        <v>383</v>
      </c>
      <c r="B94" s="544"/>
      <c r="C94" s="544"/>
      <c r="D94" s="544"/>
      <c r="E94" s="544"/>
      <c r="F94" s="544"/>
      <c r="G94" s="544"/>
      <c r="H94" s="544"/>
      <c r="I94" s="544"/>
      <c r="J94" s="544"/>
      <c r="K94" s="544"/>
      <c r="L94" s="544"/>
      <c r="M94" s="544"/>
      <c r="N94" s="544"/>
      <c r="O94" s="544"/>
      <c r="P94" s="544"/>
      <c r="Q94" s="544"/>
      <c r="R94" s="544"/>
      <c r="S94" s="544"/>
      <c r="T94" s="544"/>
      <c r="U94" s="544"/>
      <c r="V94" s="544"/>
      <c r="W94" s="544"/>
      <c r="X94" s="544"/>
      <c r="Y94" s="544"/>
      <c r="Z94" s="544"/>
      <c r="AA94" s="544"/>
      <c r="AB94" s="544"/>
      <c r="AC94" s="544"/>
      <c r="AD94" s="544"/>
      <c r="AE94" s="544"/>
      <c r="AF94" s="544"/>
      <c r="AG94" s="544"/>
      <c r="AH94" s="544"/>
      <c r="AI94" s="544"/>
      <c r="AJ94" s="201"/>
      <c r="AK94" s="202"/>
      <c r="AL94" s="202"/>
      <c r="AM94" s="203"/>
      <c r="AN94" s="203"/>
    </row>
    <row r="95" spans="1:40">
      <c r="AJ95" s="201"/>
      <c r="AK95" s="202"/>
      <c r="AL95" s="202"/>
      <c r="AM95" s="203"/>
      <c r="AN95" s="203"/>
    </row>
    <row r="96" spans="1:40">
      <c r="A96" s="526" t="s">
        <v>188</v>
      </c>
      <c r="B96" s="526"/>
      <c r="C96" s="526"/>
      <c r="D96" s="526"/>
      <c r="F96" s="531">
        <v>47.42</v>
      </c>
      <c r="G96" s="531"/>
      <c r="H96" s="200" t="s">
        <v>148</v>
      </c>
      <c r="AJ96" s="201"/>
      <c r="AK96" s="202"/>
      <c r="AL96" s="202"/>
      <c r="AM96" s="203"/>
      <c r="AN96" s="203"/>
    </row>
    <row r="97" spans="1:40">
      <c r="A97" s="526" t="s">
        <v>189</v>
      </c>
      <c r="B97" s="526"/>
      <c r="C97" s="526"/>
      <c r="D97" s="526"/>
      <c r="F97" s="531">
        <v>85.66</v>
      </c>
      <c r="G97" s="531"/>
      <c r="H97" s="200" t="s">
        <v>148</v>
      </c>
      <c r="N97" s="200"/>
      <c r="O97" s="200"/>
      <c r="P97" s="199"/>
      <c r="Q97" s="199"/>
      <c r="S97" s="200"/>
      <c r="U97" s="199"/>
      <c r="AJ97" s="201"/>
      <c r="AK97" s="202"/>
      <c r="AL97" s="202"/>
      <c r="AM97" s="203"/>
      <c r="AN97" s="203"/>
    </row>
    <row r="98" spans="1:40">
      <c r="A98" s="526" t="s">
        <v>190</v>
      </c>
      <c r="B98" s="526"/>
      <c r="C98" s="526"/>
      <c r="D98" s="526"/>
      <c r="F98" s="531">
        <v>34.03</v>
      </c>
      <c r="G98" s="531"/>
      <c r="H98" s="200" t="s">
        <v>148</v>
      </c>
      <c r="N98" s="200"/>
      <c r="O98" s="200"/>
      <c r="P98" s="199"/>
      <c r="Q98" s="199"/>
      <c r="S98" s="200"/>
      <c r="U98" s="199"/>
      <c r="AJ98" s="201"/>
      <c r="AK98" s="202"/>
      <c r="AL98" s="202"/>
      <c r="AM98" s="203"/>
      <c r="AN98" s="203"/>
    </row>
    <row r="99" spans="1:40">
      <c r="A99" s="526" t="s">
        <v>379</v>
      </c>
      <c r="B99" s="526"/>
      <c r="C99" s="526"/>
      <c r="D99" s="526"/>
      <c r="F99" s="531">
        <v>71.17</v>
      </c>
      <c r="G99" s="531"/>
      <c r="H99" s="200" t="s">
        <v>148</v>
      </c>
      <c r="N99" s="200"/>
      <c r="O99" s="200"/>
      <c r="P99" s="199"/>
      <c r="Q99" s="199"/>
      <c r="S99" s="200"/>
      <c r="U99" s="199"/>
      <c r="AJ99" s="201"/>
      <c r="AK99" s="202"/>
      <c r="AL99" s="202"/>
      <c r="AM99" s="203"/>
      <c r="AN99" s="203"/>
    </row>
    <row r="100" spans="1:40">
      <c r="A100" s="526" t="s">
        <v>384</v>
      </c>
      <c r="B100" s="526"/>
      <c r="C100" s="526"/>
      <c r="D100" s="526"/>
      <c r="F100" s="531">
        <v>5.66</v>
      </c>
      <c r="G100" s="531"/>
      <c r="H100" s="200" t="s">
        <v>148</v>
      </c>
      <c r="N100" s="200"/>
      <c r="O100" s="200"/>
      <c r="P100" s="199"/>
      <c r="Q100" s="199"/>
      <c r="S100" s="200"/>
      <c r="U100" s="199"/>
      <c r="AJ100" s="201"/>
      <c r="AK100" s="202"/>
      <c r="AL100" s="202"/>
      <c r="AM100" s="203"/>
      <c r="AN100" s="203"/>
    </row>
    <row r="101" spans="1:40">
      <c r="A101" s="526" t="s">
        <v>385</v>
      </c>
      <c r="B101" s="526"/>
      <c r="C101" s="526"/>
      <c r="D101" s="526"/>
      <c r="F101" s="531">
        <v>48.35</v>
      </c>
      <c r="G101" s="531"/>
      <c r="H101" s="200" t="s">
        <v>148</v>
      </c>
      <c r="N101" s="200"/>
      <c r="O101" s="200"/>
      <c r="P101" s="199"/>
      <c r="Q101" s="199"/>
      <c r="S101" s="200"/>
      <c r="U101" s="199"/>
      <c r="AJ101" s="201"/>
      <c r="AK101" s="202"/>
      <c r="AL101" s="202"/>
      <c r="AM101" s="203"/>
      <c r="AN101" s="203"/>
    </row>
    <row r="102" spans="1:40">
      <c r="A102" s="526" t="s">
        <v>386</v>
      </c>
      <c r="B102" s="526"/>
      <c r="C102" s="526"/>
      <c r="D102" s="526"/>
      <c r="F102" s="531">
        <v>85.49</v>
      </c>
      <c r="G102" s="531"/>
      <c r="H102" s="200" t="s">
        <v>148</v>
      </c>
      <c r="N102" s="200"/>
      <c r="O102" s="200"/>
      <c r="P102" s="199"/>
      <c r="Q102" s="199"/>
      <c r="S102" s="200"/>
      <c r="U102" s="199"/>
      <c r="AJ102" s="201"/>
      <c r="AK102" s="202"/>
      <c r="AL102" s="202"/>
      <c r="AM102" s="203"/>
      <c r="AN102" s="203"/>
    </row>
    <row r="103" spans="1:40">
      <c r="A103" s="526" t="s">
        <v>387</v>
      </c>
      <c r="B103" s="526"/>
      <c r="C103" s="526"/>
      <c r="D103" s="526"/>
      <c r="F103" s="531">
        <v>34.049999999999997</v>
      </c>
      <c r="G103" s="531"/>
      <c r="H103" s="200" t="s">
        <v>148</v>
      </c>
      <c r="N103" s="200"/>
      <c r="O103" s="200"/>
      <c r="P103" s="199"/>
      <c r="Q103" s="199"/>
      <c r="S103" s="200"/>
      <c r="U103" s="199"/>
      <c r="AJ103" s="201"/>
      <c r="AK103" s="202"/>
      <c r="AL103" s="202"/>
      <c r="AM103" s="203"/>
      <c r="AN103" s="203"/>
    </row>
    <row r="104" spans="1:40">
      <c r="A104" s="526" t="s">
        <v>396</v>
      </c>
      <c r="B104" s="526"/>
      <c r="C104" s="526"/>
      <c r="D104" s="526"/>
      <c r="F104" s="531">
        <v>66.91</v>
      </c>
      <c r="G104" s="531"/>
      <c r="H104" s="200" t="s">
        <v>148</v>
      </c>
      <c r="N104" s="200"/>
      <c r="O104" s="200"/>
      <c r="P104" s="199"/>
      <c r="Q104" s="199"/>
      <c r="S104" s="200"/>
      <c r="U104" s="199"/>
      <c r="AJ104" s="201"/>
      <c r="AK104" s="202"/>
      <c r="AL104" s="202"/>
      <c r="AM104" s="203"/>
      <c r="AN104" s="203"/>
    </row>
    <row r="105" spans="1:40">
      <c r="A105" s="526" t="s">
        <v>397</v>
      </c>
      <c r="B105" s="526"/>
      <c r="C105" s="526"/>
      <c r="D105" s="526"/>
      <c r="F105" s="531">
        <v>9.61</v>
      </c>
      <c r="G105" s="531"/>
      <c r="H105" s="200" t="s">
        <v>148</v>
      </c>
      <c r="N105" s="200"/>
      <c r="O105" s="200"/>
      <c r="P105" s="199"/>
      <c r="Q105" s="199"/>
      <c r="S105" s="200"/>
      <c r="U105" s="199"/>
      <c r="AJ105" s="201"/>
      <c r="AK105" s="202"/>
      <c r="AL105" s="202"/>
      <c r="AM105" s="203"/>
      <c r="AN105" s="203"/>
    </row>
    <row r="106" spans="1:40">
      <c r="A106" s="215"/>
      <c r="B106" s="215"/>
      <c r="C106" s="215"/>
      <c r="D106" s="215"/>
      <c r="F106" s="216"/>
      <c r="G106" s="216"/>
      <c r="N106" s="200"/>
      <c r="O106" s="200"/>
      <c r="P106" s="199"/>
      <c r="Q106" s="199"/>
      <c r="S106" s="200"/>
      <c r="U106" s="199"/>
      <c r="AJ106" s="201"/>
      <c r="AK106" s="202"/>
      <c r="AL106" s="202"/>
      <c r="AM106" s="203"/>
      <c r="AN106" s="203"/>
    </row>
    <row r="107" spans="1:40">
      <c r="A107" s="215" t="s">
        <v>191</v>
      </c>
      <c r="B107" s="215"/>
      <c r="C107" s="215"/>
      <c r="D107" s="215"/>
      <c r="F107" s="531">
        <f>SUM(F96:G106)</f>
        <v>488.35</v>
      </c>
      <c r="G107" s="531"/>
      <c r="H107" s="200" t="s">
        <v>148</v>
      </c>
      <c r="N107" s="200"/>
      <c r="O107" s="200"/>
      <c r="P107" s="199"/>
      <c r="Q107" s="199"/>
      <c r="S107" s="200"/>
      <c r="U107" s="199"/>
      <c r="AJ107" s="201"/>
      <c r="AK107" s="202"/>
      <c r="AL107" s="202"/>
      <c r="AM107" s="203"/>
      <c r="AN107" s="203"/>
    </row>
    <row r="108" spans="1:40">
      <c r="AJ108" s="201"/>
      <c r="AK108" s="202"/>
      <c r="AL108" s="202"/>
      <c r="AM108" s="203"/>
      <c r="AN108" s="203"/>
    </row>
    <row r="109" spans="1:40" ht="15">
      <c r="A109" s="542" t="s">
        <v>454</v>
      </c>
      <c r="B109" s="542"/>
      <c r="C109" s="542"/>
      <c r="D109" s="542"/>
      <c r="E109" s="542"/>
      <c r="F109" s="542"/>
      <c r="G109" s="542"/>
      <c r="H109" s="542"/>
      <c r="I109" s="542"/>
      <c r="J109" s="542"/>
      <c r="K109" s="542"/>
      <c r="L109" s="542"/>
      <c r="M109" s="542"/>
      <c r="N109" s="542"/>
      <c r="O109" s="542"/>
      <c r="P109" s="542"/>
      <c r="Q109" s="542"/>
      <c r="R109" s="542"/>
      <c r="S109" s="542"/>
      <c r="T109" s="542"/>
      <c r="U109" s="542"/>
      <c r="V109" s="542"/>
      <c r="W109" s="542"/>
      <c r="X109" s="542"/>
      <c r="Y109" s="542"/>
      <c r="Z109" s="542"/>
      <c r="AA109" s="542"/>
      <c r="AB109" s="542"/>
      <c r="AC109" s="542"/>
      <c r="AD109" s="542"/>
      <c r="AE109" s="542"/>
      <c r="AF109" s="542"/>
      <c r="AG109" s="542"/>
      <c r="AH109" s="542"/>
      <c r="AI109" s="542"/>
      <c r="AJ109" s="201"/>
      <c r="AK109" s="202"/>
      <c r="AL109" s="202"/>
      <c r="AM109" s="203"/>
      <c r="AN109" s="203"/>
    </row>
    <row r="110" spans="1:40">
      <c r="AJ110" s="201"/>
      <c r="AK110" s="202"/>
      <c r="AL110" s="202"/>
      <c r="AM110" s="203"/>
      <c r="AN110" s="203"/>
    </row>
    <row r="111" spans="1:40">
      <c r="A111" s="530" t="s">
        <v>192</v>
      </c>
      <c r="B111" s="530"/>
      <c r="C111" s="530"/>
      <c r="D111" s="530"/>
      <c r="E111" s="530"/>
      <c r="F111" s="530"/>
      <c r="G111" s="530"/>
      <c r="H111" s="530"/>
      <c r="I111" s="530"/>
      <c r="J111" s="530"/>
      <c r="K111" s="530"/>
      <c r="L111" s="530"/>
      <c r="M111" s="530"/>
      <c r="N111" s="530"/>
      <c r="O111" s="530"/>
      <c r="P111" s="530"/>
      <c r="Q111" s="530"/>
      <c r="R111" s="530"/>
      <c r="S111" s="530"/>
      <c r="T111" s="530"/>
      <c r="U111" s="530"/>
      <c r="V111" s="530"/>
      <c r="W111" s="530"/>
      <c r="X111" s="530"/>
      <c r="Y111" s="530"/>
      <c r="Z111" s="530"/>
      <c r="AA111" s="530"/>
      <c r="AB111" s="530"/>
      <c r="AC111" s="530"/>
      <c r="AD111" s="530"/>
      <c r="AE111" s="530"/>
      <c r="AF111" s="530"/>
      <c r="AG111" s="530"/>
      <c r="AH111" s="530"/>
      <c r="AI111" s="530"/>
      <c r="AJ111" s="548" t="s">
        <v>193</v>
      </c>
      <c r="AK111" s="548"/>
      <c r="AL111" s="202"/>
      <c r="AM111" s="203"/>
      <c r="AN111" s="203"/>
    </row>
    <row r="112" spans="1:40">
      <c r="AJ112" s="202">
        <v>9</v>
      </c>
      <c r="AK112" s="203"/>
      <c r="AL112" s="202"/>
      <c r="AM112" s="203"/>
      <c r="AN112" s="203"/>
    </row>
    <row r="113" spans="1:40">
      <c r="A113" s="200" t="s">
        <v>174</v>
      </c>
      <c r="B113" s="543">
        <f>AK85</f>
        <v>6</v>
      </c>
      <c r="C113" s="543"/>
      <c r="D113" s="543"/>
      <c r="E113" s="200" t="s">
        <v>148</v>
      </c>
      <c r="F113" s="214" t="s">
        <v>175</v>
      </c>
      <c r="G113" s="543">
        <f>AJ112</f>
        <v>9</v>
      </c>
      <c r="H113" s="543"/>
      <c r="I113" s="200" t="s">
        <v>194</v>
      </c>
      <c r="J113" s="214"/>
      <c r="K113" s="205"/>
      <c r="L113" s="199"/>
      <c r="M113" s="199"/>
      <c r="P113" s="199"/>
      <c r="Q113" s="199"/>
      <c r="T113" s="199"/>
      <c r="AJ113" s="201"/>
      <c r="AK113" s="202"/>
      <c r="AL113" s="202"/>
      <c r="AM113" s="203"/>
      <c r="AN113" s="203"/>
    </row>
    <row r="114" spans="1:40">
      <c r="A114" s="200" t="s">
        <v>174</v>
      </c>
      <c r="B114" s="543">
        <f>B113*G113</f>
        <v>54</v>
      </c>
      <c r="C114" s="543"/>
      <c r="D114" s="543"/>
      <c r="E114" s="200" t="s">
        <v>148</v>
      </c>
      <c r="AJ114" s="201"/>
      <c r="AK114" s="202"/>
      <c r="AL114" s="202"/>
      <c r="AM114" s="203"/>
      <c r="AN114" s="203"/>
    </row>
    <row r="115" spans="1:40">
      <c r="AJ115" s="201"/>
      <c r="AK115" s="202"/>
      <c r="AL115" s="202"/>
      <c r="AM115" s="203"/>
      <c r="AN115" s="203"/>
    </row>
    <row r="116" spans="1:40" ht="30" customHeight="1">
      <c r="A116" s="544" t="s">
        <v>423</v>
      </c>
      <c r="B116" s="544"/>
      <c r="C116" s="544"/>
      <c r="D116" s="544"/>
      <c r="E116" s="544"/>
      <c r="F116" s="544"/>
      <c r="G116" s="544"/>
      <c r="H116" s="544"/>
      <c r="I116" s="544"/>
      <c r="J116" s="544"/>
      <c r="K116" s="544"/>
      <c r="L116" s="544"/>
      <c r="M116" s="544"/>
      <c r="N116" s="544"/>
      <c r="O116" s="544"/>
      <c r="P116" s="544"/>
      <c r="Q116" s="544"/>
      <c r="R116" s="544"/>
      <c r="S116" s="544"/>
      <c r="T116" s="544"/>
      <c r="U116" s="544"/>
      <c r="V116" s="544"/>
      <c r="W116" s="544"/>
      <c r="X116" s="544"/>
      <c r="Y116" s="544"/>
      <c r="Z116" s="544"/>
      <c r="AA116" s="544"/>
      <c r="AB116" s="544"/>
      <c r="AC116" s="544"/>
      <c r="AD116" s="544"/>
      <c r="AE116" s="544"/>
      <c r="AF116" s="544"/>
      <c r="AG116" s="544"/>
      <c r="AH116" s="544"/>
      <c r="AI116" s="544"/>
      <c r="AJ116" s="201"/>
      <c r="AK116" s="202"/>
      <c r="AL116" s="202"/>
      <c r="AM116" s="203"/>
      <c r="AN116" s="203"/>
    </row>
    <row r="117" spans="1:40" ht="15">
      <c r="A117" s="217"/>
      <c r="B117" s="217"/>
      <c r="C117" s="217"/>
      <c r="D117" s="217"/>
      <c r="E117" s="217"/>
      <c r="F117" s="217"/>
      <c r="G117" s="217"/>
      <c r="H117" s="217"/>
      <c r="I117" s="217"/>
      <c r="J117" s="217"/>
      <c r="K117" s="217"/>
      <c r="L117" s="217"/>
      <c r="M117" s="217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17"/>
      <c r="AG117" s="217"/>
      <c r="AH117" s="217"/>
      <c r="AI117" s="217"/>
      <c r="AJ117" s="201"/>
      <c r="AK117" s="202"/>
      <c r="AL117" s="202"/>
      <c r="AM117" s="203"/>
      <c r="AN117" s="203"/>
    </row>
    <row r="118" spans="1:40">
      <c r="A118" s="526" t="s">
        <v>188</v>
      </c>
      <c r="B118" s="526"/>
      <c r="C118" s="526"/>
      <c r="D118" s="526"/>
      <c r="F118" s="531">
        <f>F96</f>
        <v>47.42</v>
      </c>
      <c r="G118" s="531"/>
      <c r="H118" s="526" t="s">
        <v>196</v>
      </c>
      <c r="I118" s="526"/>
      <c r="J118" s="531">
        <v>1</v>
      </c>
      <c r="K118" s="531"/>
      <c r="L118" s="526" t="s">
        <v>197</v>
      </c>
      <c r="M118" s="526"/>
      <c r="N118" s="532">
        <f>F118*J118</f>
        <v>47.42</v>
      </c>
      <c r="O118" s="532"/>
      <c r="P118" s="200" t="s">
        <v>148</v>
      </c>
      <c r="AJ118" s="201"/>
      <c r="AK118" s="202"/>
      <c r="AL118" s="202"/>
      <c r="AM118" s="203"/>
      <c r="AN118" s="203"/>
    </row>
    <row r="119" spans="1:40">
      <c r="A119" s="526" t="s">
        <v>189</v>
      </c>
      <c r="B119" s="526"/>
      <c r="C119" s="526"/>
      <c r="D119" s="526"/>
      <c r="F119" s="531">
        <f>F97</f>
        <v>85.66</v>
      </c>
      <c r="G119" s="531"/>
      <c r="H119" s="526" t="s">
        <v>196</v>
      </c>
      <c r="I119" s="526"/>
      <c r="J119" s="531">
        <v>1</v>
      </c>
      <c r="K119" s="531"/>
      <c r="L119" s="526" t="s">
        <v>197</v>
      </c>
      <c r="M119" s="526"/>
      <c r="N119" s="532">
        <f>F119*J119</f>
        <v>85.66</v>
      </c>
      <c r="O119" s="532"/>
      <c r="P119" s="200" t="s">
        <v>148</v>
      </c>
      <c r="AJ119" s="201"/>
      <c r="AK119" s="202"/>
      <c r="AL119" s="202"/>
      <c r="AM119" s="203"/>
      <c r="AN119" s="203"/>
    </row>
    <row r="120" spans="1:40">
      <c r="A120" s="526" t="s">
        <v>190</v>
      </c>
      <c r="B120" s="526"/>
      <c r="C120" s="526"/>
      <c r="D120" s="526"/>
      <c r="F120" s="531">
        <f>F98</f>
        <v>34.03</v>
      </c>
      <c r="G120" s="531"/>
      <c r="H120" s="526" t="s">
        <v>196</v>
      </c>
      <c r="I120" s="526"/>
      <c r="J120" s="531">
        <v>1</v>
      </c>
      <c r="K120" s="531"/>
      <c r="L120" s="526" t="s">
        <v>197</v>
      </c>
      <c r="M120" s="526"/>
      <c r="N120" s="532">
        <f t="shared" ref="N120:N121" si="0">F120*J120</f>
        <v>34.03</v>
      </c>
      <c r="O120" s="532"/>
      <c r="P120" s="200" t="s">
        <v>148</v>
      </c>
      <c r="AJ120" s="201"/>
      <c r="AK120" s="202"/>
      <c r="AL120" s="202"/>
      <c r="AM120" s="203"/>
      <c r="AN120" s="203"/>
    </row>
    <row r="121" spans="1:40">
      <c r="A121" s="526" t="s">
        <v>379</v>
      </c>
      <c r="B121" s="526"/>
      <c r="C121" s="526"/>
      <c r="D121" s="526"/>
      <c r="F121" s="531">
        <f>F99</f>
        <v>71.17</v>
      </c>
      <c r="G121" s="531"/>
      <c r="H121" s="526" t="s">
        <v>196</v>
      </c>
      <c r="I121" s="526"/>
      <c r="J121" s="531">
        <v>1</v>
      </c>
      <c r="K121" s="531"/>
      <c r="L121" s="526" t="s">
        <v>197</v>
      </c>
      <c r="M121" s="526"/>
      <c r="N121" s="532">
        <f t="shared" si="0"/>
        <v>71.17</v>
      </c>
      <c r="O121" s="532"/>
      <c r="P121" s="200" t="s">
        <v>148</v>
      </c>
      <c r="AJ121" s="201"/>
      <c r="AK121" s="202"/>
      <c r="AL121" s="202"/>
      <c r="AM121" s="203"/>
      <c r="AN121" s="203"/>
    </row>
    <row r="122" spans="1:40">
      <c r="A122" s="526" t="s">
        <v>384</v>
      </c>
      <c r="B122" s="526"/>
      <c r="C122" s="526"/>
      <c r="D122" s="526"/>
      <c r="F122" s="531">
        <f t="shared" ref="F122:F127" si="1">F100</f>
        <v>5.66</v>
      </c>
      <c r="G122" s="531"/>
      <c r="H122" s="526" t="s">
        <v>196</v>
      </c>
      <c r="I122" s="526"/>
      <c r="J122" s="531">
        <v>1</v>
      </c>
      <c r="K122" s="531"/>
      <c r="L122" s="526" t="s">
        <v>197</v>
      </c>
      <c r="M122" s="526"/>
      <c r="N122" s="532">
        <f t="shared" ref="N122:N126" si="2">F122*J122</f>
        <v>5.66</v>
      </c>
      <c r="O122" s="532"/>
      <c r="P122" s="200" t="s">
        <v>148</v>
      </c>
      <c r="AJ122" s="201"/>
      <c r="AK122" s="202"/>
      <c r="AL122" s="202"/>
      <c r="AM122" s="203"/>
      <c r="AN122" s="203"/>
    </row>
    <row r="123" spans="1:40">
      <c r="A123" s="526" t="s">
        <v>385</v>
      </c>
      <c r="B123" s="526"/>
      <c r="C123" s="526"/>
      <c r="D123" s="526"/>
      <c r="F123" s="531">
        <f t="shared" si="1"/>
        <v>48.35</v>
      </c>
      <c r="G123" s="531"/>
      <c r="H123" s="526" t="s">
        <v>196</v>
      </c>
      <c r="I123" s="526"/>
      <c r="J123" s="531">
        <v>1</v>
      </c>
      <c r="K123" s="531"/>
      <c r="L123" s="526" t="s">
        <v>197</v>
      </c>
      <c r="M123" s="526"/>
      <c r="N123" s="532">
        <f t="shared" si="2"/>
        <v>48.35</v>
      </c>
      <c r="O123" s="532"/>
      <c r="P123" s="200" t="s">
        <v>148</v>
      </c>
      <c r="AJ123" s="201"/>
      <c r="AK123" s="202"/>
      <c r="AL123" s="202"/>
      <c r="AM123" s="203"/>
      <c r="AN123" s="203"/>
    </row>
    <row r="124" spans="1:40">
      <c r="A124" s="526" t="s">
        <v>386</v>
      </c>
      <c r="B124" s="526"/>
      <c r="C124" s="526"/>
      <c r="D124" s="526"/>
      <c r="F124" s="531">
        <f t="shared" si="1"/>
        <v>85.49</v>
      </c>
      <c r="G124" s="531"/>
      <c r="H124" s="526" t="s">
        <v>196</v>
      </c>
      <c r="I124" s="526"/>
      <c r="J124" s="531">
        <v>1</v>
      </c>
      <c r="K124" s="531"/>
      <c r="L124" s="526" t="s">
        <v>197</v>
      </c>
      <c r="M124" s="526"/>
      <c r="N124" s="532">
        <f t="shared" si="2"/>
        <v>85.49</v>
      </c>
      <c r="O124" s="532"/>
      <c r="P124" s="200" t="s">
        <v>148</v>
      </c>
      <c r="AJ124" s="201"/>
      <c r="AK124" s="202"/>
      <c r="AL124" s="202"/>
      <c r="AM124" s="203"/>
      <c r="AN124" s="203"/>
    </row>
    <row r="125" spans="1:40">
      <c r="A125" s="526" t="s">
        <v>387</v>
      </c>
      <c r="B125" s="526"/>
      <c r="C125" s="526"/>
      <c r="D125" s="526"/>
      <c r="F125" s="531">
        <f t="shared" si="1"/>
        <v>34.049999999999997</v>
      </c>
      <c r="G125" s="531"/>
      <c r="H125" s="526" t="s">
        <v>196</v>
      </c>
      <c r="I125" s="526"/>
      <c r="J125" s="531">
        <v>1</v>
      </c>
      <c r="K125" s="531"/>
      <c r="L125" s="526" t="s">
        <v>197</v>
      </c>
      <c r="M125" s="526"/>
      <c r="N125" s="532">
        <f t="shared" si="2"/>
        <v>34.049999999999997</v>
      </c>
      <c r="O125" s="532"/>
      <c r="P125" s="200" t="s">
        <v>148</v>
      </c>
      <c r="AJ125" s="201"/>
      <c r="AK125" s="202"/>
      <c r="AL125" s="202"/>
      <c r="AM125" s="203"/>
      <c r="AN125" s="203"/>
    </row>
    <row r="126" spans="1:40">
      <c r="A126" s="526" t="s">
        <v>396</v>
      </c>
      <c r="B126" s="526"/>
      <c r="C126" s="526"/>
      <c r="D126" s="526"/>
      <c r="F126" s="531">
        <f t="shared" si="1"/>
        <v>66.91</v>
      </c>
      <c r="G126" s="531"/>
      <c r="H126" s="526" t="s">
        <v>196</v>
      </c>
      <c r="I126" s="526"/>
      <c r="J126" s="531">
        <v>1</v>
      </c>
      <c r="K126" s="531"/>
      <c r="L126" s="526" t="s">
        <v>197</v>
      </c>
      <c r="M126" s="526"/>
      <c r="N126" s="532">
        <f t="shared" si="2"/>
        <v>66.91</v>
      </c>
      <c r="O126" s="532"/>
      <c r="P126" s="200" t="s">
        <v>148</v>
      </c>
      <c r="AJ126" s="201"/>
      <c r="AK126" s="202"/>
      <c r="AL126" s="202"/>
      <c r="AM126" s="203"/>
      <c r="AN126" s="203"/>
    </row>
    <row r="127" spans="1:40">
      <c r="A127" s="526" t="s">
        <v>397</v>
      </c>
      <c r="B127" s="526"/>
      <c r="C127" s="526"/>
      <c r="D127" s="526"/>
      <c r="F127" s="531">
        <f t="shared" si="1"/>
        <v>9.61</v>
      </c>
      <c r="G127" s="531"/>
      <c r="H127" s="526" t="s">
        <v>196</v>
      </c>
      <c r="I127" s="526"/>
      <c r="J127" s="531">
        <v>1</v>
      </c>
      <c r="K127" s="531"/>
      <c r="L127" s="526" t="s">
        <v>197</v>
      </c>
      <c r="M127" s="526"/>
      <c r="N127" s="532">
        <f t="shared" ref="N127" si="3">F127*J127</f>
        <v>9.61</v>
      </c>
      <c r="O127" s="532"/>
      <c r="P127" s="200" t="s">
        <v>148</v>
      </c>
      <c r="AJ127" s="201"/>
      <c r="AK127" s="202"/>
      <c r="AL127" s="202"/>
      <c r="AM127" s="203"/>
      <c r="AN127" s="203"/>
    </row>
    <row r="128" spans="1:40">
      <c r="A128" s="215"/>
      <c r="B128" s="215"/>
      <c r="C128" s="215"/>
      <c r="D128" s="215"/>
      <c r="F128" s="216"/>
      <c r="G128" s="216"/>
      <c r="H128" s="215"/>
      <c r="I128" s="215"/>
      <c r="J128" s="216"/>
      <c r="K128" s="216"/>
      <c r="L128" s="215"/>
      <c r="M128" s="215"/>
      <c r="N128" s="204"/>
      <c r="O128" s="204"/>
      <c r="AJ128" s="201"/>
      <c r="AK128" s="202"/>
      <c r="AL128" s="202"/>
      <c r="AM128" s="203"/>
      <c r="AN128" s="203"/>
    </row>
    <row r="129" spans="1:40">
      <c r="A129" s="200" t="s">
        <v>185</v>
      </c>
      <c r="C129" s="531">
        <f>SUM(N118:N127)</f>
        <v>488.35</v>
      </c>
      <c r="D129" s="533"/>
      <c r="E129" s="526" t="s">
        <v>196</v>
      </c>
      <c r="F129" s="526"/>
      <c r="G129" s="532">
        <f>AL85</f>
        <v>1.25</v>
      </c>
      <c r="H129" s="533"/>
      <c r="I129" s="526" t="s">
        <v>198</v>
      </c>
      <c r="J129" s="526"/>
      <c r="K129" s="525">
        <f>C129*G129</f>
        <v>610.44000000000005</v>
      </c>
      <c r="L129" s="525"/>
      <c r="M129" s="200" t="s">
        <v>85</v>
      </c>
      <c r="N129" s="204"/>
      <c r="O129" s="204"/>
      <c r="AJ129" s="201"/>
      <c r="AK129" s="202"/>
      <c r="AL129" s="202"/>
      <c r="AM129" s="203"/>
      <c r="AN129" s="203"/>
    </row>
    <row r="130" spans="1:40">
      <c r="F130" s="216"/>
      <c r="G130" s="216"/>
      <c r="H130" s="215"/>
      <c r="I130" s="215"/>
      <c r="J130" s="216"/>
      <c r="K130" s="216"/>
      <c r="L130" s="215"/>
      <c r="M130" s="215"/>
      <c r="N130" s="204"/>
      <c r="O130" s="204"/>
      <c r="AJ130" s="201"/>
      <c r="AK130" s="202"/>
      <c r="AL130" s="202"/>
      <c r="AM130" s="203"/>
      <c r="AN130" s="203"/>
    </row>
    <row r="131" spans="1:40">
      <c r="A131" s="200" t="s">
        <v>199</v>
      </c>
      <c r="E131" s="205"/>
      <c r="F131" s="205"/>
      <c r="H131" s="216"/>
      <c r="I131" s="216"/>
      <c r="J131" s="215"/>
      <c r="K131" s="215"/>
      <c r="L131" s="216"/>
      <c r="M131" s="216"/>
      <c r="AJ131" s="201"/>
      <c r="AK131" s="202"/>
      <c r="AL131" s="202"/>
      <c r="AM131" s="203"/>
      <c r="AN131" s="203"/>
    </row>
    <row r="132" spans="1:40">
      <c r="A132" s="526" t="s">
        <v>200</v>
      </c>
      <c r="B132" s="526"/>
      <c r="C132" s="526"/>
      <c r="D132" s="526"/>
      <c r="F132" s="531">
        <f>C167</f>
        <v>100.96</v>
      </c>
      <c r="G132" s="531"/>
      <c r="H132" s="526" t="s">
        <v>85</v>
      </c>
      <c r="I132" s="526"/>
      <c r="J132" s="531"/>
      <c r="K132" s="531"/>
      <c r="L132" s="526"/>
      <c r="M132" s="526"/>
      <c r="N132" s="532"/>
      <c r="O132" s="532"/>
      <c r="AJ132" s="201"/>
      <c r="AK132" s="202"/>
      <c r="AL132" s="202"/>
      <c r="AM132" s="203"/>
      <c r="AN132" s="203"/>
    </row>
    <row r="133" spans="1:40">
      <c r="A133" s="200" t="s">
        <v>201</v>
      </c>
      <c r="F133" s="531">
        <v>8.5</v>
      </c>
      <c r="G133" s="531"/>
      <c r="H133" s="526" t="s">
        <v>196</v>
      </c>
      <c r="I133" s="526"/>
      <c r="J133" s="531">
        <f>B140</f>
        <v>12</v>
      </c>
      <c r="K133" s="531"/>
      <c r="L133" s="526" t="s">
        <v>202</v>
      </c>
      <c r="M133" s="526"/>
      <c r="N133" s="532">
        <v>1.05</v>
      </c>
      <c r="O133" s="532"/>
      <c r="P133" s="200" t="s">
        <v>203</v>
      </c>
      <c r="Q133" s="528">
        <f>F133*J133*N133</f>
        <v>107.1</v>
      </c>
      <c r="R133" s="528"/>
      <c r="S133" s="199" t="s">
        <v>85</v>
      </c>
      <c r="AJ133" s="201"/>
      <c r="AK133" s="202"/>
      <c r="AL133" s="202"/>
      <c r="AM133" s="203"/>
      <c r="AN133" s="203"/>
    </row>
    <row r="134" spans="1:40">
      <c r="A134" s="200" t="s">
        <v>204</v>
      </c>
      <c r="F134" s="531">
        <f>K129</f>
        <v>610.44000000000005</v>
      </c>
      <c r="G134" s="533"/>
      <c r="H134" s="526" t="s">
        <v>205</v>
      </c>
      <c r="I134" s="526"/>
      <c r="J134" s="531">
        <f>SUM(F132,Q133)</f>
        <v>208.06</v>
      </c>
      <c r="K134" s="533"/>
      <c r="L134" s="526" t="s">
        <v>206</v>
      </c>
      <c r="M134" s="526"/>
      <c r="N134" s="525">
        <f>F134-J134</f>
        <v>402.38</v>
      </c>
      <c r="O134" s="525"/>
      <c r="P134" s="200" t="s">
        <v>85</v>
      </c>
      <c r="AJ134" s="201"/>
      <c r="AK134" s="202"/>
      <c r="AL134" s="202"/>
      <c r="AM134" s="203"/>
      <c r="AN134" s="203"/>
    </row>
    <row r="135" spans="1:40">
      <c r="AJ135" s="201"/>
      <c r="AK135" s="202"/>
      <c r="AL135" s="202"/>
      <c r="AM135" s="203"/>
      <c r="AN135" s="203"/>
    </row>
    <row r="136" spans="1:40" ht="31.5" customHeight="1">
      <c r="A136" s="544" t="s">
        <v>431</v>
      </c>
      <c r="B136" s="544"/>
      <c r="C136" s="544"/>
      <c r="D136" s="544"/>
      <c r="E136" s="544"/>
      <c r="F136" s="544"/>
      <c r="G136" s="544"/>
      <c r="H136" s="544"/>
      <c r="I136" s="544"/>
      <c r="J136" s="544"/>
      <c r="K136" s="544"/>
      <c r="L136" s="544"/>
      <c r="M136" s="544"/>
      <c r="N136" s="544"/>
      <c r="O136" s="544"/>
      <c r="P136" s="544"/>
      <c r="Q136" s="544"/>
      <c r="R136" s="544"/>
      <c r="S136" s="544"/>
      <c r="T136" s="544"/>
      <c r="U136" s="544"/>
      <c r="V136" s="544"/>
      <c r="W136" s="544"/>
      <c r="X136" s="544"/>
      <c r="Y136" s="544"/>
      <c r="Z136" s="544"/>
      <c r="AA136" s="544"/>
      <c r="AB136" s="544"/>
      <c r="AC136" s="544"/>
      <c r="AD136" s="544"/>
      <c r="AE136" s="544"/>
      <c r="AF136" s="544"/>
      <c r="AG136" s="544"/>
      <c r="AH136" s="544"/>
      <c r="AI136" s="544"/>
      <c r="AJ136" s="201"/>
      <c r="AK136" s="202"/>
      <c r="AL136" s="202"/>
      <c r="AM136" s="203"/>
      <c r="AN136" s="203"/>
    </row>
    <row r="137" spans="1:40">
      <c r="AJ137" s="201"/>
      <c r="AK137" s="202"/>
      <c r="AL137" s="202"/>
      <c r="AM137" s="203"/>
      <c r="AN137" s="203"/>
    </row>
    <row r="138" spans="1:40">
      <c r="A138" s="530" t="s">
        <v>207</v>
      </c>
      <c r="B138" s="530"/>
      <c r="C138" s="530"/>
      <c r="D138" s="530"/>
      <c r="E138" s="530"/>
      <c r="F138" s="530"/>
      <c r="G138" s="530"/>
      <c r="H138" s="530"/>
      <c r="I138" s="530"/>
      <c r="J138" s="530"/>
      <c r="K138" s="530"/>
      <c r="L138" s="530"/>
      <c r="M138" s="530"/>
      <c r="N138" s="530"/>
      <c r="O138" s="530"/>
      <c r="P138" s="530"/>
      <c r="Q138" s="530"/>
      <c r="R138" s="530"/>
      <c r="S138" s="530"/>
      <c r="T138" s="530"/>
      <c r="U138" s="530"/>
      <c r="V138" s="530"/>
      <c r="W138" s="530"/>
      <c r="X138" s="530"/>
      <c r="Y138" s="530"/>
      <c r="Z138" s="530"/>
      <c r="AA138" s="530"/>
      <c r="AB138" s="530"/>
      <c r="AC138" s="530"/>
      <c r="AD138" s="530"/>
      <c r="AE138" s="530"/>
      <c r="AF138" s="530"/>
      <c r="AG138" s="530"/>
      <c r="AH138" s="530"/>
      <c r="AI138" s="530"/>
      <c r="AJ138" s="201"/>
      <c r="AK138" s="202"/>
      <c r="AL138" s="202"/>
      <c r="AM138" s="203"/>
      <c r="AN138" s="203"/>
    </row>
    <row r="139" spans="1:40">
      <c r="AJ139" s="201" t="s">
        <v>234</v>
      </c>
      <c r="AK139" s="202"/>
      <c r="AL139" s="202"/>
      <c r="AM139" s="203"/>
      <c r="AN139" s="203"/>
    </row>
    <row r="140" spans="1:40">
      <c r="A140" s="200" t="s">
        <v>179</v>
      </c>
      <c r="B140" s="543">
        <f>AJ140</f>
        <v>12</v>
      </c>
      <c r="C140" s="543"/>
      <c r="D140" s="530" t="s">
        <v>102</v>
      </c>
      <c r="E140" s="530"/>
      <c r="AJ140" s="201">
        <v>12</v>
      </c>
      <c r="AK140" s="202"/>
      <c r="AL140" s="202"/>
      <c r="AM140" s="203"/>
      <c r="AN140" s="203"/>
    </row>
    <row r="141" spans="1:40">
      <c r="AJ141" s="201"/>
      <c r="AK141" s="202"/>
      <c r="AL141" s="202"/>
      <c r="AM141" s="203"/>
      <c r="AN141" s="203"/>
    </row>
    <row r="142" spans="1:40" ht="31.5" customHeight="1">
      <c r="A142" s="567" t="s">
        <v>425</v>
      </c>
      <c r="B142" s="567"/>
      <c r="C142" s="567"/>
      <c r="D142" s="567"/>
      <c r="E142" s="567"/>
      <c r="F142" s="567"/>
      <c r="G142" s="567"/>
      <c r="H142" s="567"/>
      <c r="I142" s="567"/>
      <c r="J142" s="567"/>
      <c r="K142" s="567"/>
      <c r="L142" s="567"/>
      <c r="M142" s="567"/>
      <c r="N142" s="567"/>
      <c r="O142" s="567"/>
      <c r="P142" s="567"/>
      <c r="Q142" s="567"/>
      <c r="R142" s="567"/>
      <c r="S142" s="567"/>
      <c r="T142" s="567"/>
      <c r="U142" s="567"/>
      <c r="V142" s="567"/>
      <c r="W142" s="567"/>
      <c r="X142" s="567"/>
      <c r="Y142" s="567"/>
      <c r="Z142" s="567"/>
      <c r="AA142" s="567"/>
      <c r="AB142" s="567"/>
      <c r="AC142" s="567"/>
      <c r="AD142" s="567"/>
      <c r="AE142" s="567"/>
      <c r="AF142" s="567"/>
      <c r="AG142" s="567"/>
      <c r="AH142" s="567"/>
      <c r="AI142" s="567"/>
      <c r="AJ142" s="201"/>
      <c r="AK142" s="202"/>
      <c r="AL142" s="202"/>
      <c r="AM142" s="203"/>
      <c r="AN142" s="218"/>
    </row>
    <row r="143" spans="1:40">
      <c r="AJ143" s="201"/>
      <c r="AK143" s="202"/>
      <c r="AL143" s="202"/>
      <c r="AM143" s="203"/>
      <c r="AN143" s="203"/>
    </row>
    <row r="144" spans="1:40">
      <c r="A144" s="200" t="s">
        <v>208</v>
      </c>
      <c r="AJ144" s="201"/>
      <c r="AK144" s="202"/>
      <c r="AL144" s="202"/>
      <c r="AM144" s="203"/>
      <c r="AN144" s="203"/>
    </row>
    <row r="145" spans="1:40">
      <c r="AJ145" s="201"/>
      <c r="AK145" s="202"/>
      <c r="AL145" s="202"/>
      <c r="AM145" s="203"/>
      <c r="AN145" s="203"/>
    </row>
    <row r="146" spans="1:40">
      <c r="A146" s="526" t="s">
        <v>188</v>
      </c>
      <c r="B146" s="526"/>
      <c r="C146" s="526"/>
      <c r="D146" s="526"/>
      <c r="F146" s="531">
        <f>F118</f>
        <v>47.42</v>
      </c>
      <c r="G146" s="531"/>
      <c r="H146" s="526" t="s">
        <v>196</v>
      </c>
      <c r="I146" s="526"/>
      <c r="J146" s="531">
        <v>1</v>
      </c>
      <c r="K146" s="531"/>
      <c r="L146" s="526" t="s">
        <v>197</v>
      </c>
      <c r="M146" s="526"/>
      <c r="N146" s="532">
        <f>F146*J146</f>
        <v>47.42</v>
      </c>
      <c r="O146" s="532"/>
      <c r="P146" s="200" t="s">
        <v>148</v>
      </c>
      <c r="AJ146" s="201"/>
      <c r="AK146" s="202"/>
      <c r="AL146" s="202"/>
      <c r="AM146" s="203"/>
      <c r="AN146" s="203"/>
    </row>
    <row r="147" spans="1:40">
      <c r="A147" s="526" t="s">
        <v>189</v>
      </c>
      <c r="B147" s="526"/>
      <c r="C147" s="526"/>
      <c r="D147" s="526"/>
      <c r="F147" s="531">
        <f>F119</f>
        <v>85.66</v>
      </c>
      <c r="G147" s="531"/>
      <c r="H147" s="526" t="s">
        <v>196</v>
      </c>
      <c r="I147" s="526"/>
      <c r="J147" s="531">
        <v>1</v>
      </c>
      <c r="K147" s="531"/>
      <c r="L147" s="526" t="s">
        <v>197</v>
      </c>
      <c r="M147" s="526"/>
      <c r="N147" s="532">
        <f>F147*J147</f>
        <v>85.66</v>
      </c>
      <c r="O147" s="532"/>
      <c r="P147" s="200" t="s">
        <v>148</v>
      </c>
      <c r="AJ147" s="201"/>
      <c r="AK147" s="202"/>
      <c r="AL147" s="202"/>
      <c r="AM147" s="203"/>
      <c r="AN147" s="203"/>
    </row>
    <row r="148" spans="1:40">
      <c r="A148" s="526" t="s">
        <v>190</v>
      </c>
      <c r="B148" s="526"/>
      <c r="C148" s="526"/>
      <c r="D148" s="526"/>
      <c r="F148" s="531">
        <f>F120</f>
        <v>34.03</v>
      </c>
      <c r="G148" s="531"/>
      <c r="H148" s="526" t="s">
        <v>196</v>
      </c>
      <c r="I148" s="526"/>
      <c r="J148" s="531">
        <v>1</v>
      </c>
      <c r="K148" s="531"/>
      <c r="L148" s="526" t="s">
        <v>197</v>
      </c>
      <c r="M148" s="526"/>
      <c r="N148" s="532">
        <f t="shared" ref="N148:N149" si="4">F148*J148</f>
        <v>34.03</v>
      </c>
      <c r="O148" s="532"/>
      <c r="P148" s="200" t="s">
        <v>148</v>
      </c>
      <c r="AJ148" s="201"/>
      <c r="AK148" s="202"/>
      <c r="AL148" s="202"/>
      <c r="AM148" s="203"/>
      <c r="AN148" s="203"/>
    </row>
    <row r="149" spans="1:40">
      <c r="A149" s="526" t="s">
        <v>379</v>
      </c>
      <c r="B149" s="526"/>
      <c r="C149" s="526"/>
      <c r="D149" s="526"/>
      <c r="F149" s="531">
        <f>F121</f>
        <v>71.17</v>
      </c>
      <c r="G149" s="531"/>
      <c r="H149" s="526" t="s">
        <v>196</v>
      </c>
      <c r="I149" s="526"/>
      <c r="J149" s="531">
        <v>1</v>
      </c>
      <c r="K149" s="531"/>
      <c r="L149" s="526" t="s">
        <v>197</v>
      </c>
      <c r="M149" s="526"/>
      <c r="N149" s="532">
        <f t="shared" si="4"/>
        <v>71.17</v>
      </c>
      <c r="O149" s="532"/>
      <c r="P149" s="200" t="s">
        <v>148</v>
      </c>
      <c r="AJ149" s="201"/>
      <c r="AK149" s="202"/>
      <c r="AL149" s="202"/>
      <c r="AM149" s="203"/>
      <c r="AN149" s="203"/>
    </row>
    <row r="150" spans="1:40">
      <c r="A150" s="526" t="s">
        <v>384</v>
      </c>
      <c r="B150" s="526"/>
      <c r="C150" s="526"/>
      <c r="D150" s="526"/>
      <c r="F150" s="531">
        <f t="shared" ref="F150:F155" si="5">F122</f>
        <v>5.66</v>
      </c>
      <c r="G150" s="531"/>
      <c r="H150" s="526" t="s">
        <v>196</v>
      </c>
      <c r="I150" s="526"/>
      <c r="J150" s="531">
        <v>1</v>
      </c>
      <c r="K150" s="531"/>
      <c r="L150" s="526" t="s">
        <v>197</v>
      </c>
      <c r="M150" s="526"/>
      <c r="N150" s="532">
        <f t="shared" ref="N150:N155" si="6">F150*J150</f>
        <v>5.66</v>
      </c>
      <c r="O150" s="532"/>
      <c r="P150" s="200" t="s">
        <v>148</v>
      </c>
      <c r="AJ150" s="201"/>
      <c r="AK150" s="202"/>
      <c r="AL150" s="202"/>
      <c r="AM150" s="203"/>
      <c r="AN150" s="203"/>
    </row>
    <row r="151" spans="1:40">
      <c r="A151" s="526" t="s">
        <v>385</v>
      </c>
      <c r="B151" s="526"/>
      <c r="C151" s="526"/>
      <c r="D151" s="526"/>
      <c r="F151" s="531">
        <f t="shared" si="5"/>
        <v>48.35</v>
      </c>
      <c r="G151" s="531"/>
      <c r="H151" s="526" t="s">
        <v>196</v>
      </c>
      <c r="I151" s="526"/>
      <c r="J151" s="531">
        <v>1</v>
      </c>
      <c r="K151" s="531"/>
      <c r="L151" s="526" t="s">
        <v>197</v>
      </c>
      <c r="M151" s="526"/>
      <c r="N151" s="532">
        <f t="shared" si="6"/>
        <v>48.35</v>
      </c>
      <c r="O151" s="532"/>
      <c r="P151" s="200" t="s">
        <v>148</v>
      </c>
      <c r="AJ151" s="201"/>
      <c r="AK151" s="202"/>
      <c r="AL151" s="202"/>
      <c r="AM151" s="203"/>
      <c r="AN151" s="203"/>
    </row>
    <row r="152" spans="1:40">
      <c r="A152" s="526" t="s">
        <v>386</v>
      </c>
      <c r="B152" s="526"/>
      <c r="C152" s="526"/>
      <c r="D152" s="526"/>
      <c r="F152" s="531">
        <f t="shared" si="5"/>
        <v>85.49</v>
      </c>
      <c r="G152" s="531"/>
      <c r="H152" s="526" t="s">
        <v>196</v>
      </c>
      <c r="I152" s="526"/>
      <c r="J152" s="531">
        <v>1</v>
      </c>
      <c r="K152" s="531"/>
      <c r="L152" s="526" t="s">
        <v>197</v>
      </c>
      <c r="M152" s="526"/>
      <c r="N152" s="532">
        <f t="shared" si="6"/>
        <v>85.49</v>
      </c>
      <c r="O152" s="532"/>
      <c r="P152" s="200" t="s">
        <v>148</v>
      </c>
      <c r="AJ152" s="201"/>
      <c r="AK152" s="202"/>
      <c r="AL152" s="202"/>
      <c r="AM152" s="203"/>
      <c r="AN152" s="203"/>
    </row>
    <row r="153" spans="1:40">
      <c r="A153" s="526" t="s">
        <v>387</v>
      </c>
      <c r="B153" s="526"/>
      <c r="C153" s="526"/>
      <c r="D153" s="526"/>
      <c r="F153" s="531">
        <f t="shared" si="5"/>
        <v>34.049999999999997</v>
      </c>
      <c r="G153" s="531"/>
      <c r="H153" s="526" t="s">
        <v>196</v>
      </c>
      <c r="I153" s="526"/>
      <c r="J153" s="531">
        <v>1</v>
      </c>
      <c r="K153" s="531"/>
      <c r="L153" s="526" t="s">
        <v>197</v>
      </c>
      <c r="M153" s="526"/>
      <c r="N153" s="532">
        <f t="shared" si="6"/>
        <v>34.049999999999997</v>
      </c>
      <c r="O153" s="532"/>
      <c r="P153" s="200" t="s">
        <v>148</v>
      </c>
      <c r="AJ153" s="201"/>
      <c r="AK153" s="202"/>
      <c r="AL153" s="202"/>
      <c r="AM153" s="203"/>
      <c r="AN153" s="203"/>
    </row>
    <row r="154" spans="1:40">
      <c r="A154" s="526" t="s">
        <v>396</v>
      </c>
      <c r="B154" s="526"/>
      <c r="C154" s="526"/>
      <c r="D154" s="526"/>
      <c r="F154" s="531">
        <f t="shared" si="5"/>
        <v>66.91</v>
      </c>
      <c r="G154" s="531"/>
      <c r="H154" s="526" t="s">
        <v>196</v>
      </c>
      <c r="I154" s="526"/>
      <c r="J154" s="531">
        <v>1</v>
      </c>
      <c r="K154" s="531"/>
      <c r="L154" s="526" t="s">
        <v>197</v>
      </c>
      <c r="M154" s="526"/>
      <c r="N154" s="532">
        <f t="shared" si="6"/>
        <v>66.91</v>
      </c>
      <c r="O154" s="532"/>
      <c r="P154" s="200" t="s">
        <v>148</v>
      </c>
      <c r="AJ154" s="201"/>
      <c r="AK154" s="202"/>
      <c r="AL154" s="202"/>
      <c r="AM154" s="203"/>
      <c r="AN154" s="203"/>
    </row>
    <row r="155" spans="1:40">
      <c r="A155" s="526" t="s">
        <v>397</v>
      </c>
      <c r="B155" s="526"/>
      <c r="C155" s="526"/>
      <c r="D155" s="526"/>
      <c r="F155" s="531">
        <f t="shared" si="5"/>
        <v>9.61</v>
      </c>
      <c r="G155" s="531"/>
      <c r="H155" s="526" t="s">
        <v>196</v>
      </c>
      <c r="I155" s="526"/>
      <c r="J155" s="531">
        <v>1</v>
      </c>
      <c r="K155" s="531"/>
      <c r="L155" s="526" t="s">
        <v>197</v>
      </c>
      <c r="M155" s="526"/>
      <c r="N155" s="532">
        <f t="shared" si="6"/>
        <v>9.61</v>
      </c>
      <c r="O155" s="532"/>
      <c r="P155" s="200" t="s">
        <v>148</v>
      </c>
      <c r="AJ155" s="201"/>
      <c r="AK155" s="202"/>
      <c r="AL155" s="202"/>
      <c r="AM155" s="203"/>
      <c r="AN155" s="203"/>
    </row>
    <row r="156" spans="1:40">
      <c r="A156" s="215"/>
      <c r="B156" s="215"/>
      <c r="C156" s="215"/>
      <c r="D156" s="215"/>
      <c r="F156" s="216"/>
      <c r="G156" s="216"/>
      <c r="H156" s="215"/>
      <c r="I156" s="215"/>
      <c r="J156" s="216"/>
      <c r="K156" s="216"/>
      <c r="L156" s="215"/>
      <c r="M156" s="215"/>
      <c r="N156" s="204"/>
      <c r="O156" s="204"/>
      <c r="AJ156" s="201"/>
      <c r="AK156" s="202"/>
      <c r="AL156" s="202"/>
      <c r="AM156" s="203"/>
      <c r="AN156" s="203"/>
    </row>
    <row r="157" spans="1:40">
      <c r="A157" s="215"/>
      <c r="B157" s="215"/>
      <c r="C157" s="215"/>
      <c r="D157" s="215"/>
      <c r="F157" s="216"/>
      <c r="G157" s="216"/>
      <c r="H157" s="215"/>
      <c r="I157" s="215"/>
      <c r="J157" s="216"/>
      <c r="K157" s="216"/>
      <c r="L157" s="215"/>
      <c r="M157" s="215"/>
      <c r="N157" s="204"/>
      <c r="O157" s="204"/>
      <c r="AJ157" s="201"/>
      <c r="AK157" s="202"/>
      <c r="AL157" s="202"/>
      <c r="AM157" s="203"/>
      <c r="AN157" s="203"/>
    </row>
    <row r="158" spans="1:40">
      <c r="A158" s="200" t="s">
        <v>199</v>
      </c>
      <c r="E158" s="205"/>
      <c r="F158" s="205"/>
      <c r="H158" s="216"/>
      <c r="I158" s="216"/>
      <c r="J158" s="215"/>
      <c r="K158" s="215"/>
      <c r="L158" s="216"/>
      <c r="M158" s="216"/>
      <c r="AJ158" s="201"/>
      <c r="AK158" s="202"/>
      <c r="AL158" s="202"/>
      <c r="AM158" s="203"/>
      <c r="AN158" s="203"/>
    </row>
    <row r="159" spans="1:40">
      <c r="A159" s="526" t="s">
        <v>201</v>
      </c>
      <c r="B159" s="526"/>
      <c r="C159" s="526"/>
      <c r="D159" s="526"/>
      <c r="F159" s="531">
        <v>8.5</v>
      </c>
      <c r="G159" s="531"/>
      <c r="H159" s="526" t="s">
        <v>196</v>
      </c>
      <c r="I159" s="526"/>
      <c r="J159" s="531">
        <f>B140</f>
        <v>12</v>
      </c>
      <c r="K159" s="531"/>
      <c r="L159" s="526" t="s">
        <v>197</v>
      </c>
      <c r="M159" s="526"/>
      <c r="N159" s="532">
        <f>F159*J159</f>
        <v>102</v>
      </c>
      <c r="O159" s="532"/>
      <c r="P159" s="200" t="s">
        <v>148</v>
      </c>
      <c r="AJ159" s="201"/>
      <c r="AK159" s="202"/>
      <c r="AL159" s="202"/>
      <c r="AM159" s="203"/>
      <c r="AN159" s="203"/>
    </row>
    <row r="160" spans="1:40">
      <c r="A160" s="526" t="s">
        <v>209</v>
      </c>
      <c r="B160" s="526"/>
      <c r="C160" s="526"/>
      <c r="D160" s="526"/>
      <c r="F160" s="531">
        <v>0.5</v>
      </c>
      <c r="G160" s="531"/>
      <c r="H160" s="526" t="s">
        <v>196</v>
      </c>
      <c r="I160" s="526"/>
      <c r="J160" s="531">
        <v>35</v>
      </c>
      <c r="K160" s="531"/>
      <c r="L160" s="526" t="s">
        <v>197</v>
      </c>
      <c r="M160" s="526"/>
      <c r="N160" s="532">
        <f>F160*J160</f>
        <v>17.5</v>
      </c>
      <c r="O160" s="532"/>
      <c r="P160" s="200" t="s">
        <v>148</v>
      </c>
      <c r="T160" s="199"/>
      <c r="U160" s="199"/>
      <c r="AJ160" s="201"/>
      <c r="AK160" s="202"/>
      <c r="AL160" s="202"/>
      <c r="AM160" s="203"/>
      <c r="AN160" s="203"/>
    </row>
    <row r="161" spans="1:40">
      <c r="A161" s="200" t="s">
        <v>210</v>
      </c>
      <c r="F161" s="531">
        <f>SUM(N146:O155)-SUM(N159:O160)</f>
        <v>368.85</v>
      </c>
      <c r="G161" s="533"/>
      <c r="H161" s="200" t="s">
        <v>211</v>
      </c>
      <c r="I161" s="533">
        <v>0.25</v>
      </c>
      <c r="J161" s="533"/>
      <c r="K161" s="200" t="s">
        <v>212</v>
      </c>
      <c r="L161" s="525">
        <f>F161*I161</f>
        <v>92.21</v>
      </c>
      <c r="M161" s="528"/>
      <c r="N161" s="199" t="s">
        <v>85</v>
      </c>
      <c r="AJ161" s="201"/>
      <c r="AK161" s="202"/>
      <c r="AL161" s="202"/>
      <c r="AM161" s="203"/>
      <c r="AN161" s="203"/>
    </row>
    <row r="162" spans="1:40">
      <c r="AJ162" s="201"/>
      <c r="AK162" s="202"/>
      <c r="AL162" s="202"/>
      <c r="AM162" s="203"/>
      <c r="AN162" s="203"/>
    </row>
    <row r="163" spans="1:40">
      <c r="A163" s="200" t="s">
        <v>213</v>
      </c>
      <c r="AJ163" s="201"/>
      <c r="AK163" s="202"/>
      <c r="AL163" s="202"/>
      <c r="AM163" s="203"/>
      <c r="AN163" s="203"/>
    </row>
    <row r="164" spans="1:40">
      <c r="E164" s="533"/>
      <c r="F164" s="533"/>
      <c r="H164" s="527"/>
      <c r="I164" s="527"/>
      <c r="J164" s="526"/>
      <c r="K164" s="526"/>
      <c r="L164" s="531"/>
      <c r="M164" s="531"/>
      <c r="AJ164" s="201"/>
      <c r="AK164" s="202"/>
      <c r="AL164" s="202"/>
      <c r="AM164" s="203"/>
      <c r="AN164" s="203"/>
    </row>
    <row r="165" spans="1:40">
      <c r="A165" s="526" t="s">
        <v>209</v>
      </c>
      <c r="B165" s="526"/>
      <c r="C165" s="526"/>
      <c r="D165" s="526"/>
      <c r="F165" s="531">
        <v>0.25</v>
      </c>
      <c r="G165" s="531"/>
      <c r="H165" s="526" t="s">
        <v>214</v>
      </c>
      <c r="I165" s="526"/>
      <c r="J165" s="531">
        <f>J160</f>
        <v>35</v>
      </c>
      <c r="K165" s="531"/>
      <c r="L165" s="526" t="s">
        <v>197</v>
      </c>
      <c r="M165" s="526"/>
      <c r="N165" s="532">
        <f>F165*J165</f>
        <v>8.75</v>
      </c>
      <c r="O165" s="532"/>
      <c r="P165" s="200" t="s">
        <v>85</v>
      </c>
      <c r="AJ165" s="201"/>
      <c r="AK165" s="202"/>
      <c r="AL165" s="202"/>
      <c r="AM165" s="203"/>
      <c r="AN165" s="203"/>
    </row>
    <row r="166" spans="1:40">
      <c r="E166" s="205"/>
      <c r="F166" s="205"/>
      <c r="H166" s="219"/>
      <c r="I166" s="219"/>
      <c r="J166" s="215"/>
      <c r="K166" s="215"/>
      <c r="L166" s="214"/>
      <c r="M166" s="214"/>
      <c r="AJ166" s="201"/>
      <c r="AK166" s="202"/>
      <c r="AL166" s="202"/>
      <c r="AM166" s="203"/>
      <c r="AN166" s="203"/>
    </row>
    <row r="167" spans="1:40">
      <c r="A167" s="200" t="s">
        <v>191</v>
      </c>
      <c r="C167" s="527">
        <f>L161+N165</f>
        <v>100.96</v>
      </c>
      <c r="D167" s="527"/>
      <c r="E167" s="205" t="s">
        <v>85</v>
      </c>
      <c r="F167" s="205"/>
      <c r="H167" s="219"/>
      <c r="I167" s="219"/>
      <c r="J167" s="215"/>
      <c r="K167" s="215"/>
      <c r="L167" s="214"/>
      <c r="M167" s="214"/>
      <c r="AJ167" s="201"/>
      <c r="AK167" s="202"/>
      <c r="AL167" s="202"/>
      <c r="AM167" s="203"/>
      <c r="AN167" s="203"/>
    </row>
    <row r="168" spans="1:40">
      <c r="AJ168" s="201"/>
      <c r="AK168" s="202"/>
      <c r="AL168" s="202"/>
      <c r="AM168" s="203"/>
      <c r="AN168" s="203"/>
    </row>
    <row r="169" spans="1:40" ht="15">
      <c r="A169" s="542" t="s">
        <v>426</v>
      </c>
      <c r="B169" s="542"/>
      <c r="C169" s="542"/>
      <c r="D169" s="542"/>
      <c r="E169" s="542"/>
      <c r="F169" s="542"/>
      <c r="G169" s="542"/>
      <c r="H169" s="542"/>
      <c r="I169" s="542"/>
      <c r="J169" s="542"/>
      <c r="K169" s="542"/>
      <c r="L169" s="542"/>
      <c r="M169" s="542"/>
      <c r="N169" s="542"/>
      <c r="O169" s="542"/>
      <c r="P169" s="542"/>
      <c r="Q169" s="542"/>
      <c r="R169" s="542"/>
      <c r="S169" s="542"/>
      <c r="T169" s="542"/>
      <c r="U169" s="542"/>
      <c r="V169" s="542"/>
      <c r="W169" s="542"/>
      <c r="X169" s="542"/>
      <c r="Y169" s="542"/>
      <c r="Z169" s="542"/>
      <c r="AA169" s="542"/>
      <c r="AB169" s="542"/>
      <c r="AC169" s="542"/>
      <c r="AD169" s="542"/>
      <c r="AE169" s="542"/>
      <c r="AF169" s="542"/>
      <c r="AG169" s="542"/>
      <c r="AH169" s="542"/>
      <c r="AI169" s="542"/>
      <c r="AJ169" s="201"/>
      <c r="AK169" s="202"/>
      <c r="AL169" s="202"/>
      <c r="AM169" s="203"/>
      <c r="AN169" s="203"/>
    </row>
    <row r="170" spans="1:40">
      <c r="AJ170" s="201"/>
      <c r="AK170" s="202"/>
      <c r="AL170" s="202"/>
      <c r="AM170" s="203"/>
      <c r="AN170" s="203"/>
    </row>
    <row r="171" spans="1:40">
      <c r="A171" s="530" t="s">
        <v>246</v>
      </c>
      <c r="B171" s="530"/>
      <c r="C171" s="530"/>
      <c r="D171" s="530"/>
      <c r="E171" s="530"/>
      <c r="F171" s="530"/>
      <c r="G171" s="530"/>
      <c r="H171" s="530"/>
      <c r="I171" s="530"/>
      <c r="J171" s="530"/>
      <c r="K171" s="530"/>
      <c r="L171" s="530"/>
      <c r="M171" s="530"/>
      <c r="N171" s="530"/>
      <c r="O171" s="530"/>
      <c r="P171" s="530"/>
      <c r="Q171" s="530"/>
      <c r="R171" s="530"/>
      <c r="S171" s="530"/>
      <c r="T171" s="530"/>
      <c r="U171" s="530"/>
      <c r="V171" s="530"/>
      <c r="W171" s="530"/>
      <c r="X171" s="530"/>
      <c r="Y171" s="530"/>
      <c r="Z171" s="530"/>
      <c r="AA171" s="530"/>
      <c r="AB171" s="530"/>
      <c r="AC171" s="530"/>
      <c r="AD171" s="530"/>
      <c r="AE171" s="530"/>
      <c r="AF171" s="530"/>
      <c r="AG171" s="530"/>
      <c r="AH171" s="530"/>
      <c r="AI171" s="530"/>
      <c r="AJ171" s="201"/>
      <c r="AK171" s="202"/>
      <c r="AL171" s="202"/>
      <c r="AM171" s="203"/>
      <c r="AN171" s="203"/>
    </row>
    <row r="172" spans="1:40">
      <c r="AJ172" s="201"/>
      <c r="AK172" s="202"/>
      <c r="AL172" s="202"/>
      <c r="AM172" s="203"/>
      <c r="AN172" s="203"/>
    </row>
    <row r="173" spans="1:40">
      <c r="A173" s="200" t="s">
        <v>174</v>
      </c>
      <c r="C173" s="525">
        <f>SUM(F96:G105)</f>
        <v>488.35</v>
      </c>
      <c r="D173" s="525"/>
      <c r="E173" s="198" t="s">
        <v>175</v>
      </c>
      <c r="F173" s="200" t="s">
        <v>216</v>
      </c>
      <c r="G173" s="528">
        <v>0.15</v>
      </c>
      <c r="H173" s="528"/>
      <c r="I173" s="198" t="s">
        <v>217</v>
      </c>
      <c r="J173" s="525">
        <v>0.15</v>
      </c>
      <c r="K173" s="525"/>
      <c r="L173" s="214" t="s">
        <v>218</v>
      </c>
      <c r="M173" s="543"/>
      <c r="N173" s="543"/>
      <c r="S173" s="200"/>
      <c r="AF173" s="198"/>
      <c r="AG173" s="199"/>
      <c r="AH173" s="199"/>
      <c r="AJ173" s="203"/>
      <c r="AK173" s="200"/>
      <c r="AL173" s="200"/>
    </row>
    <row r="174" spans="1:40">
      <c r="A174" s="200" t="s">
        <v>174</v>
      </c>
      <c r="B174" s="543">
        <f>(C173)*(G173+J173)</f>
        <v>146.51</v>
      </c>
      <c r="C174" s="543"/>
      <c r="D174" s="543"/>
      <c r="E174" s="200" t="s">
        <v>85</v>
      </c>
      <c r="AJ174" s="201"/>
      <c r="AK174" s="202"/>
      <c r="AL174" s="202"/>
      <c r="AM174" s="203"/>
      <c r="AN174" s="203"/>
    </row>
    <row r="175" spans="1:40">
      <c r="AJ175" s="201"/>
      <c r="AK175" s="202"/>
      <c r="AL175" s="202"/>
      <c r="AM175" s="203"/>
      <c r="AN175" s="203"/>
    </row>
    <row r="176" spans="1:40" s="223" customFormat="1" ht="15" customHeight="1">
      <c r="A176" s="544" t="s">
        <v>427</v>
      </c>
      <c r="B176" s="544"/>
      <c r="C176" s="544"/>
      <c r="D176" s="544"/>
      <c r="E176" s="544"/>
      <c r="F176" s="544"/>
      <c r="G176" s="544"/>
      <c r="H176" s="544"/>
      <c r="I176" s="544"/>
      <c r="J176" s="544"/>
      <c r="K176" s="544"/>
      <c r="L176" s="544"/>
      <c r="M176" s="544"/>
      <c r="N176" s="544"/>
      <c r="O176" s="544"/>
      <c r="P176" s="544"/>
      <c r="Q176" s="544"/>
      <c r="R176" s="544"/>
      <c r="S176" s="544"/>
      <c r="T176" s="544"/>
      <c r="U176" s="544"/>
      <c r="V176" s="544"/>
      <c r="W176" s="544"/>
      <c r="X176" s="544"/>
      <c r="Y176" s="544"/>
      <c r="Z176" s="544"/>
      <c r="AA176" s="544"/>
      <c r="AB176" s="544"/>
      <c r="AC176" s="544"/>
      <c r="AD176" s="544"/>
      <c r="AE176" s="544"/>
      <c r="AF176" s="544"/>
      <c r="AG176" s="544"/>
      <c r="AH176" s="544"/>
      <c r="AI176" s="544"/>
      <c r="AJ176" s="220"/>
      <c r="AK176" s="221"/>
      <c r="AL176" s="221"/>
      <c r="AM176" s="222"/>
      <c r="AN176" s="222"/>
    </row>
    <row r="177" spans="1:40">
      <c r="AM177" s="203"/>
      <c r="AN177" s="203"/>
    </row>
    <row r="178" spans="1:40">
      <c r="A178" s="538" t="s">
        <v>219</v>
      </c>
      <c r="B178" s="538"/>
      <c r="C178" s="538"/>
      <c r="D178" s="538"/>
      <c r="E178" s="538"/>
      <c r="F178" s="538"/>
      <c r="G178" s="538"/>
      <c r="H178" s="538"/>
      <c r="I178" s="538"/>
      <c r="J178" s="538"/>
      <c r="K178" s="538"/>
      <c r="L178" s="538"/>
      <c r="M178" s="538"/>
      <c r="N178" s="538"/>
      <c r="O178" s="538"/>
      <c r="P178" s="538"/>
      <c r="Q178" s="538"/>
      <c r="R178" s="538"/>
      <c r="S178" s="538"/>
      <c r="T178" s="538"/>
      <c r="U178" s="538"/>
      <c r="V178" s="538"/>
      <c r="W178" s="538"/>
      <c r="X178" s="538"/>
      <c r="Y178" s="538"/>
      <c r="Z178" s="538"/>
      <c r="AA178" s="538"/>
      <c r="AB178" s="538"/>
      <c r="AC178" s="538"/>
      <c r="AD178" s="538"/>
      <c r="AE178" s="538"/>
      <c r="AF178" s="538"/>
      <c r="AG178" s="538"/>
      <c r="AH178" s="538"/>
      <c r="AI178" s="538"/>
      <c r="AM178" s="203"/>
      <c r="AN178" s="203"/>
    </row>
    <row r="179" spans="1:40">
      <c r="A179" s="538"/>
      <c r="B179" s="538"/>
      <c r="C179" s="538"/>
      <c r="D179" s="538"/>
      <c r="E179" s="538"/>
      <c r="F179" s="538"/>
      <c r="G179" s="538"/>
      <c r="H179" s="538"/>
      <c r="I179" s="538"/>
      <c r="J179" s="538"/>
      <c r="K179" s="538"/>
      <c r="L179" s="538"/>
      <c r="M179" s="538"/>
      <c r="N179" s="538"/>
      <c r="O179" s="538"/>
      <c r="P179" s="538"/>
      <c r="Q179" s="538"/>
      <c r="R179" s="538"/>
      <c r="S179" s="538"/>
      <c r="T179" s="538"/>
      <c r="U179" s="538"/>
      <c r="V179" s="538"/>
      <c r="W179" s="538"/>
      <c r="X179" s="538"/>
      <c r="Y179" s="538"/>
      <c r="Z179" s="538"/>
      <c r="AA179" s="538"/>
      <c r="AB179" s="538"/>
      <c r="AC179" s="538"/>
      <c r="AD179" s="538"/>
      <c r="AE179" s="538"/>
      <c r="AF179" s="538"/>
      <c r="AG179" s="538"/>
      <c r="AH179" s="538"/>
      <c r="AI179" s="538"/>
      <c r="AM179" s="203"/>
      <c r="AN179" s="203"/>
    </row>
    <row r="180" spans="1:40">
      <c r="AJ180" s="525" t="s">
        <v>220</v>
      </c>
      <c r="AK180" s="525"/>
      <c r="AL180" s="199" t="s">
        <v>221</v>
      </c>
      <c r="AM180" s="203"/>
      <c r="AN180" s="203"/>
    </row>
    <row r="181" spans="1:40">
      <c r="B181" s="200" t="s">
        <v>222</v>
      </c>
      <c r="AK181" s="198"/>
      <c r="AM181" s="203"/>
      <c r="AN181" s="203"/>
    </row>
    <row r="182" spans="1:40">
      <c r="A182" s="200" t="s">
        <v>174</v>
      </c>
      <c r="B182" s="527">
        <f>AJ183</f>
        <v>1</v>
      </c>
      <c r="C182" s="527"/>
      <c r="D182" s="200" t="s">
        <v>102</v>
      </c>
      <c r="F182" s="200" t="s">
        <v>175</v>
      </c>
      <c r="G182" s="525">
        <f>AL183</f>
        <v>0.28000000000000003</v>
      </c>
      <c r="H182" s="525"/>
      <c r="I182" s="200" t="s">
        <v>223</v>
      </c>
      <c r="AK182" s="198"/>
      <c r="AM182" s="203"/>
      <c r="AN182" s="203"/>
    </row>
    <row r="183" spans="1:40">
      <c r="A183" s="200" t="s">
        <v>224</v>
      </c>
      <c r="B183" s="543">
        <f>B182*G182</f>
        <v>0.28000000000000003</v>
      </c>
      <c r="C183" s="543"/>
      <c r="D183" s="530" t="s">
        <v>85</v>
      </c>
      <c r="E183" s="530"/>
      <c r="AJ183" s="198">
        <v>1</v>
      </c>
      <c r="AL183" s="199">
        <f>PI()*0.3^2</f>
        <v>0.28000000000000003</v>
      </c>
      <c r="AM183" s="203"/>
      <c r="AN183" s="203"/>
    </row>
    <row r="185" spans="1:40">
      <c r="B185" s="200" t="s">
        <v>225</v>
      </c>
      <c r="AK185" s="198"/>
      <c r="AM185" s="203"/>
      <c r="AN185" s="203"/>
    </row>
    <row r="186" spans="1:40">
      <c r="A186" s="200" t="s">
        <v>174</v>
      </c>
      <c r="B186" s="527">
        <f>AJ187</f>
        <v>2</v>
      </c>
      <c r="C186" s="527"/>
      <c r="D186" s="200" t="s">
        <v>102</v>
      </c>
      <c r="F186" s="200" t="s">
        <v>175</v>
      </c>
      <c r="G186" s="525">
        <f>AL187</f>
        <v>0.2</v>
      </c>
      <c r="H186" s="525"/>
      <c r="I186" s="200" t="s">
        <v>223</v>
      </c>
      <c r="AJ186" s="525" t="s">
        <v>226</v>
      </c>
      <c r="AK186" s="525"/>
      <c r="AM186" s="203"/>
      <c r="AN186" s="203"/>
    </row>
    <row r="187" spans="1:40">
      <c r="A187" s="200" t="s">
        <v>224</v>
      </c>
      <c r="B187" s="543">
        <f>B186*G186</f>
        <v>0.4</v>
      </c>
      <c r="C187" s="543"/>
      <c r="D187" s="530" t="s">
        <v>85</v>
      </c>
      <c r="E187" s="530"/>
      <c r="AJ187" s="198">
        <v>2</v>
      </c>
      <c r="AL187" s="199">
        <f>PI()*0.25^2</f>
        <v>0.2</v>
      </c>
      <c r="AM187" s="203"/>
      <c r="AN187" s="203"/>
    </row>
    <row r="189" spans="1:40">
      <c r="A189" s="200" t="s">
        <v>185</v>
      </c>
      <c r="C189" s="525">
        <f>B183+B187</f>
        <v>0.68</v>
      </c>
      <c r="D189" s="528"/>
      <c r="E189" s="200" t="s">
        <v>85</v>
      </c>
    </row>
    <row r="191" spans="1:40" s="197" customFormat="1" ht="15">
      <c r="A191" s="229" t="s">
        <v>227</v>
      </c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1"/>
      <c r="AJ191" s="224"/>
      <c r="AK191" s="210"/>
      <c r="AL191" s="210"/>
    </row>
    <row r="193" spans="1:35" ht="15">
      <c r="A193" s="542" t="s">
        <v>228</v>
      </c>
      <c r="B193" s="542"/>
      <c r="C193" s="542"/>
      <c r="D193" s="542"/>
      <c r="E193" s="542"/>
      <c r="F193" s="542"/>
      <c r="G193" s="542"/>
      <c r="H193" s="542"/>
      <c r="I193" s="542"/>
      <c r="J193" s="542"/>
      <c r="K193" s="542"/>
      <c r="L193" s="542"/>
      <c r="M193" s="542"/>
      <c r="N193" s="542"/>
      <c r="O193" s="542"/>
      <c r="P193" s="542"/>
      <c r="Q193" s="542"/>
      <c r="R193" s="542"/>
      <c r="S193" s="542"/>
      <c r="T193" s="542"/>
      <c r="U193" s="542"/>
      <c r="V193" s="542"/>
      <c r="W193" s="542"/>
      <c r="X193" s="542"/>
      <c r="Y193" s="542"/>
      <c r="Z193" s="542"/>
      <c r="AA193" s="542"/>
      <c r="AB193" s="542"/>
      <c r="AC193" s="542"/>
      <c r="AD193" s="542"/>
      <c r="AE193" s="542"/>
      <c r="AF193" s="542"/>
      <c r="AG193" s="542"/>
      <c r="AH193" s="542"/>
      <c r="AI193" s="542"/>
    </row>
    <row r="195" spans="1:35">
      <c r="A195" s="530" t="s">
        <v>229</v>
      </c>
      <c r="B195" s="530"/>
      <c r="C195" s="530"/>
      <c r="D195" s="530"/>
      <c r="E195" s="530"/>
      <c r="F195" s="530"/>
      <c r="G195" s="530"/>
      <c r="H195" s="530"/>
      <c r="I195" s="530"/>
      <c r="J195" s="530"/>
      <c r="K195" s="530"/>
      <c r="L195" s="530"/>
      <c r="M195" s="530"/>
      <c r="N195" s="530"/>
      <c r="O195" s="530"/>
      <c r="P195" s="530"/>
      <c r="Q195" s="530"/>
      <c r="R195" s="530"/>
      <c r="S195" s="530"/>
      <c r="T195" s="530"/>
      <c r="U195" s="530"/>
      <c r="V195" s="530"/>
      <c r="W195" s="530"/>
      <c r="X195" s="530"/>
      <c r="Y195" s="530"/>
      <c r="Z195" s="530"/>
      <c r="AA195" s="530"/>
      <c r="AB195" s="530"/>
      <c r="AC195" s="530"/>
      <c r="AD195" s="530"/>
      <c r="AE195" s="530"/>
      <c r="AF195" s="530"/>
      <c r="AG195" s="530"/>
      <c r="AH195" s="530"/>
      <c r="AI195" s="530"/>
    </row>
    <row r="197" spans="1:35">
      <c r="A197" s="200" t="s">
        <v>230</v>
      </c>
      <c r="B197" s="543">
        <f>B92</f>
        <v>1647.48</v>
      </c>
      <c r="C197" s="530"/>
      <c r="D197" s="530"/>
      <c r="E197" s="200" t="s">
        <v>85</v>
      </c>
    </row>
  </sheetData>
  <mergeCells count="286">
    <mergeCell ref="H154:I154"/>
    <mergeCell ref="J154:K154"/>
    <mergeCell ref="L154:M154"/>
    <mergeCell ref="N154:O154"/>
    <mergeCell ref="H155:I155"/>
    <mergeCell ref="J155:K155"/>
    <mergeCell ref="L155:M155"/>
    <mergeCell ref="N155:O155"/>
    <mergeCell ref="F150:G150"/>
    <mergeCell ref="F151:G151"/>
    <mergeCell ref="F152:G152"/>
    <mergeCell ref="F153:G153"/>
    <mergeCell ref="F154:G154"/>
    <mergeCell ref="F155:G155"/>
    <mergeCell ref="J151:K151"/>
    <mergeCell ref="L151:M151"/>
    <mergeCell ref="N151:O151"/>
    <mergeCell ref="H152:I152"/>
    <mergeCell ref="J152:K152"/>
    <mergeCell ref="L152:M152"/>
    <mergeCell ref="N152:O152"/>
    <mergeCell ref="H153:I153"/>
    <mergeCell ref="J153:K153"/>
    <mergeCell ref="L153:M153"/>
    <mergeCell ref="N153:O153"/>
    <mergeCell ref="N126:O126"/>
    <mergeCell ref="F122:G122"/>
    <mergeCell ref="F123:G123"/>
    <mergeCell ref="F124:G124"/>
    <mergeCell ref="F125:G125"/>
    <mergeCell ref="F126:G126"/>
    <mergeCell ref="A127:D127"/>
    <mergeCell ref="F127:G127"/>
    <mergeCell ref="H127:I127"/>
    <mergeCell ref="J127:K127"/>
    <mergeCell ref="L127:M127"/>
    <mergeCell ref="N127:O127"/>
    <mergeCell ref="A122:D122"/>
    <mergeCell ref="A123:D123"/>
    <mergeCell ref="A124:D124"/>
    <mergeCell ref="A125:D125"/>
    <mergeCell ref="A126:D126"/>
    <mergeCell ref="H122:I122"/>
    <mergeCell ref="J122:K122"/>
    <mergeCell ref="L122:M122"/>
    <mergeCell ref="N122:O122"/>
    <mergeCell ref="H123:I123"/>
    <mergeCell ref="J123:K123"/>
    <mergeCell ref="L123:M123"/>
    <mergeCell ref="N123:O123"/>
    <mergeCell ref="H124:I124"/>
    <mergeCell ref="J124:K124"/>
    <mergeCell ref="L124:M124"/>
    <mergeCell ref="N124:O124"/>
    <mergeCell ref="H125:I125"/>
    <mergeCell ref="J125:K125"/>
    <mergeCell ref="L125:M125"/>
    <mergeCell ref="N125:O125"/>
    <mergeCell ref="H126:I126"/>
    <mergeCell ref="J126:K126"/>
    <mergeCell ref="L126:M126"/>
    <mergeCell ref="E88:F88"/>
    <mergeCell ref="E89:F89"/>
    <mergeCell ref="E90:F90"/>
    <mergeCell ref="A100:D100"/>
    <mergeCell ref="A101:D101"/>
    <mergeCell ref="A102:D102"/>
    <mergeCell ref="A103:D103"/>
    <mergeCell ref="A104:D104"/>
    <mergeCell ref="A105:D105"/>
    <mergeCell ref="F100:G100"/>
    <mergeCell ref="F101:G101"/>
    <mergeCell ref="F102:G102"/>
    <mergeCell ref="F103:G103"/>
    <mergeCell ref="F104:G104"/>
    <mergeCell ref="F105:G105"/>
    <mergeCell ref="A98:D98"/>
    <mergeCell ref="F98:G98"/>
    <mergeCell ref="A99:D99"/>
    <mergeCell ref="F99:G99"/>
    <mergeCell ref="F107:G107"/>
    <mergeCell ref="A109:AI109"/>
    <mergeCell ref="A24:AI24"/>
    <mergeCell ref="A26:AI26"/>
    <mergeCell ref="B28:C28"/>
    <mergeCell ref="A30:AI30"/>
    <mergeCell ref="A32:AI32"/>
    <mergeCell ref="B34:C34"/>
    <mergeCell ref="D34:E34"/>
    <mergeCell ref="A2:AI2"/>
    <mergeCell ref="A4:AI4"/>
    <mergeCell ref="A6:AI6"/>
    <mergeCell ref="A8:AI8"/>
    <mergeCell ref="B10:C10"/>
    <mergeCell ref="F10:G10"/>
    <mergeCell ref="J10:K10"/>
    <mergeCell ref="A12:AI12"/>
    <mergeCell ref="A14:AI14"/>
    <mergeCell ref="A15:AI15"/>
    <mergeCell ref="B16:C16"/>
    <mergeCell ref="G16:H16"/>
    <mergeCell ref="C22:E22"/>
    <mergeCell ref="E18:F18"/>
    <mergeCell ref="E19:F19"/>
    <mergeCell ref="E20:F20"/>
    <mergeCell ref="E21:F21"/>
    <mergeCell ref="B48:C48"/>
    <mergeCell ref="D48:E48"/>
    <mergeCell ref="A51:AI51"/>
    <mergeCell ref="A53:AI53"/>
    <mergeCell ref="B55:C55"/>
    <mergeCell ref="D55:E55"/>
    <mergeCell ref="A37:AI37"/>
    <mergeCell ref="A39:AI39"/>
    <mergeCell ref="B41:C41"/>
    <mergeCell ref="D41:E41"/>
    <mergeCell ref="A44:AI44"/>
    <mergeCell ref="A46:AI46"/>
    <mergeCell ref="A83:AI83"/>
    <mergeCell ref="B85:C85"/>
    <mergeCell ref="G85:H85"/>
    <mergeCell ref="F91:G91"/>
    <mergeCell ref="B92:D92"/>
    <mergeCell ref="A94:AI94"/>
    <mergeCell ref="A58:AI58"/>
    <mergeCell ref="A60:AI60"/>
    <mergeCell ref="B62:C62"/>
    <mergeCell ref="D62:E62"/>
    <mergeCell ref="A65:AI65"/>
    <mergeCell ref="A81:AI81"/>
    <mergeCell ref="A67:AI67"/>
    <mergeCell ref="A69:AI69"/>
    <mergeCell ref="A70:AI70"/>
    <mergeCell ref="B71:C71"/>
    <mergeCell ref="G71:H71"/>
    <mergeCell ref="B79:D79"/>
    <mergeCell ref="E73:F73"/>
    <mergeCell ref="E74:F74"/>
    <mergeCell ref="E75:F75"/>
    <mergeCell ref="E76:F76"/>
    <mergeCell ref="E87:F87"/>
    <mergeCell ref="A96:D96"/>
    <mergeCell ref="F96:G96"/>
    <mergeCell ref="A97:D97"/>
    <mergeCell ref="F97:G97"/>
    <mergeCell ref="A118:D118"/>
    <mergeCell ref="F118:G118"/>
    <mergeCell ref="H118:I118"/>
    <mergeCell ref="J118:K118"/>
    <mergeCell ref="L118:M118"/>
    <mergeCell ref="N118:O118"/>
    <mergeCell ref="A111:AI111"/>
    <mergeCell ref="AJ111:AK111"/>
    <mergeCell ref="B113:D113"/>
    <mergeCell ref="G113:H113"/>
    <mergeCell ref="B114:D114"/>
    <mergeCell ref="A116:AI116"/>
    <mergeCell ref="A119:D119"/>
    <mergeCell ref="F119:G119"/>
    <mergeCell ref="H119:I119"/>
    <mergeCell ref="J119:K119"/>
    <mergeCell ref="L119:M119"/>
    <mergeCell ref="N119:O119"/>
    <mergeCell ref="A121:D121"/>
    <mergeCell ref="F121:G121"/>
    <mergeCell ref="H121:I121"/>
    <mergeCell ref="J121:K121"/>
    <mergeCell ref="L121:M121"/>
    <mergeCell ref="N121:O121"/>
    <mergeCell ref="A120:D120"/>
    <mergeCell ref="F120:G120"/>
    <mergeCell ref="H120:I120"/>
    <mergeCell ref="J120:K120"/>
    <mergeCell ref="L120:M120"/>
    <mergeCell ref="N120:O120"/>
    <mergeCell ref="C129:D129"/>
    <mergeCell ref="E129:F129"/>
    <mergeCell ref="G129:H129"/>
    <mergeCell ref="I129:J129"/>
    <mergeCell ref="K129:L129"/>
    <mergeCell ref="A132:D132"/>
    <mergeCell ref="F132:G132"/>
    <mergeCell ref="H132:I132"/>
    <mergeCell ref="J132:K132"/>
    <mergeCell ref="L132:M132"/>
    <mergeCell ref="Q133:R133"/>
    <mergeCell ref="F134:G134"/>
    <mergeCell ref="H134:I134"/>
    <mergeCell ref="J134:K134"/>
    <mergeCell ref="L134:M134"/>
    <mergeCell ref="N134:O134"/>
    <mergeCell ref="N132:O132"/>
    <mergeCell ref="F133:G133"/>
    <mergeCell ref="H133:I133"/>
    <mergeCell ref="J133:K133"/>
    <mergeCell ref="L133:M133"/>
    <mergeCell ref="N133:O133"/>
    <mergeCell ref="N146:O146"/>
    <mergeCell ref="A147:D147"/>
    <mergeCell ref="F147:G147"/>
    <mergeCell ref="H147:I147"/>
    <mergeCell ref="J147:K147"/>
    <mergeCell ref="L147:M147"/>
    <mergeCell ref="N147:O147"/>
    <mergeCell ref="A136:AI136"/>
    <mergeCell ref="A138:AI138"/>
    <mergeCell ref="B140:C140"/>
    <mergeCell ref="D140:E140"/>
    <mergeCell ref="A142:AI142"/>
    <mergeCell ref="A146:D146"/>
    <mergeCell ref="F146:G146"/>
    <mergeCell ref="H146:I146"/>
    <mergeCell ref="J146:K146"/>
    <mergeCell ref="L146:M146"/>
    <mergeCell ref="N160:O160"/>
    <mergeCell ref="A159:D159"/>
    <mergeCell ref="F159:G159"/>
    <mergeCell ref="H159:I159"/>
    <mergeCell ref="J159:K159"/>
    <mergeCell ref="L159:M159"/>
    <mergeCell ref="N159:O159"/>
    <mergeCell ref="A149:D149"/>
    <mergeCell ref="F149:G149"/>
    <mergeCell ref="H149:I149"/>
    <mergeCell ref="J149:K149"/>
    <mergeCell ref="L149:M149"/>
    <mergeCell ref="N149:O149"/>
    <mergeCell ref="A150:D150"/>
    <mergeCell ref="A151:D151"/>
    <mergeCell ref="A152:D152"/>
    <mergeCell ref="A153:D153"/>
    <mergeCell ref="A154:D154"/>
    <mergeCell ref="A155:D155"/>
    <mergeCell ref="H150:I150"/>
    <mergeCell ref="J150:K150"/>
    <mergeCell ref="L150:M150"/>
    <mergeCell ref="N150:O150"/>
    <mergeCell ref="H151:I151"/>
    <mergeCell ref="AJ186:AK186"/>
    <mergeCell ref="B187:C187"/>
    <mergeCell ref="D187:E187"/>
    <mergeCell ref="B174:D174"/>
    <mergeCell ref="A176:AI176"/>
    <mergeCell ref="A178:AI179"/>
    <mergeCell ref="AJ180:AK180"/>
    <mergeCell ref="B182:C182"/>
    <mergeCell ref="G182:H182"/>
    <mergeCell ref="A193:AI193"/>
    <mergeCell ref="A195:AI195"/>
    <mergeCell ref="B197:D197"/>
    <mergeCell ref="C189:D189"/>
    <mergeCell ref="B183:C183"/>
    <mergeCell ref="D183:E183"/>
    <mergeCell ref="B186:C186"/>
    <mergeCell ref="G186:H186"/>
    <mergeCell ref="C167:D167"/>
    <mergeCell ref="A169:AI169"/>
    <mergeCell ref="A171:AI171"/>
    <mergeCell ref="C173:D173"/>
    <mergeCell ref="G173:H173"/>
    <mergeCell ref="J173:K173"/>
    <mergeCell ref="M173:N173"/>
    <mergeCell ref="A165:D165"/>
    <mergeCell ref="F165:G165"/>
    <mergeCell ref="H165:I165"/>
    <mergeCell ref="J165:K165"/>
    <mergeCell ref="L165:M165"/>
    <mergeCell ref="N165:O165"/>
    <mergeCell ref="F161:G161"/>
    <mergeCell ref="A148:D148"/>
    <mergeCell ref="F148:G148"/>
    <mergeCell ref="H148:I148"/>
    <mergeCell ref="J148:K148"/>
    <mergeCell ref="L148:M148"/>
    <mergeCell ref="N148:O148"/>
    <mergeCell ref="I161:J161"/>
    <mergeCell ref="L161:M161"/>
    <mergeCell ref="E164:F164"/>
    <mergeCell ref="H164:I164"/>
    <mergeCell ref="J164:K164"/>
    <mergeCell ref="L164:M164"/>
    <mergeCell ref="A160:D160"/>
    <mergeCell ref="F160:G160"/>
    <mergeCell ref="H160:I160"/>
    <mergeCell ref="J160:K160"/>
    <mergeCell ref="L160:M160"/>
  </mergeCells>
  <printOptions horizontalCentered="1"/>
  <pageMargins left="0.25" right="0.25" top="0.75" bottom="0.75" header="0.3" footer="0.3"/>
  <pageSetup paperSize="9" scale="67" orientation="portrait" horizontalDpi="4294967293" verticalDpi="4294967293" r:id="rId1"/>
  <rowBreaks count="2" manualBreakCount="2">
    <brk id="108" max="34" man="1"/>
    <brk id="175" max="3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H39"/>
  <sheetViews>
    <sheetView view="pageBreakPreview" topLeftCell="A4" zoomScale="115" zoomScaleSheetLayoutView="115" workbookViewId="0">
      <selection activeCell="M25" sqref="M25"/>
    </sheetView>
  </sheetViews>
  <sheetFormatPr defaultColWidth="9.140625" defaultRowHeight="12.75"/>
  <cols>
    <col min="1" max="1" width="12.42578125" style="422" customWidth="1"/>
    <col min="2" max="2" width="10.85546875" style="422" bestFit="1" customWidth="1"/>
    <col min="3" max="3" width="9.140625" style="422"/>
    <col min="4" max="4" width="10.85546875" style="422" bestFit="1" customWidth="1"/>
    <col min="5" max="5" width="9.28515625" style="422" bestFit="1" customWidth="1"/>
    <col min="6" max="16384" width="9.140625" style="422"/>
  </cols>
  <sheetData>
    <row r="1" spans="1:8" s="419" customFormat="1" ht="15.6" customHeight="1">
      <c r="B1" s="570"/>
      <c r="C1" s="570"/>
      <c r="D1" s="570"/>
      <c r="E1" s="570"/>
      <c r="F1" s="420"/>
      <c r="G1" s="420"/>
    </row>
    <row r="2" spans="1:8" s="419" customFormat="1" ht="15.6" customHeight="1">
      <c r="B2" s="570"/>
      <c r="C2" s="570"/>
      <c r="D2" s="570"/>
      <c r="E2" s="570"/>
      <c r="F2" s="420"/>
      <c r="G2" s="420"/>
    </row>
    <row r="3" spans="1:8" s="419" customFormat="1" ht="15.6" customHeight="1">
      <c r="B3" s="570"/>
      <c r="C3" s="570"/>
      <c r="D3" s="570"/>
      <c r="E3" s="570"/>
      <c r="F3" s="420"/>
      <c r="G3" s="420"/>
    </row>
    <row r="4" spans="1:8" s="419" customFormat="1" ht="15.6" customHeight="1">
      <c r="B4" s="570"/>
      <c r="C4" s="570"/>
      <c r="D4" s="570"/>
      <c r="E4" s="570"/>
      <c r="F4" s="420"/>
      <c r="G4" s="420"/>
    </row>
    <row r="5" spans="1:8" s="419" customFormat="1" ht="18.75" customHeight="1">
      <c r="A5" s="571" t="s">
        <v>374</v>
      </c>
      <c r="B5" s="571"/>
      <c r="C5" s="571"/>
      <c r="D5" s="571"/>
      <c r="E5" s="571"/>
      <c r="F5" s="571"/>
      <c r="G5" s="571"/>
      <c r="H5" s="571"/>
    </row>
    <row r="6" spans="1:8" s="419" customFormat="1" ht="18.75" customHeight="1">
      <c r="B6" s="421"/>
      <c r="C6" s="421"/>
      <c r="D6" s="421"/>
      <c r="E6" s="421"/>
      <c r="F6" s="421"/>
      <c r="G6" s="421"/>
    </row>
    <row r="7" spans="1:8">
      <c r="A7" s="569" t="s">
        <v>456</v>
      </c>
      <c r="B7" s="569"/>
      <c r="C7" s="569"/>
      <c r="D7" s="569"/>
      <c r="E7" s="569"/>
      <c r="F7" s="569"/>
      <c r="G7" s="569"/>
      <c r="H7" s="569"/>
    </row>
    <row r="9" spans="1:8" ht="15" customHeight="1">
      <c r="A9" s="423" t="s">
        <v>122</v>
      </c>
      <c r="B9" s="424" t="s">
        <v>457</v>
      </c>
      <c r="C9" s="424"/>
      <c r="D9" s="424"/>
      <c r="E9" s="424"/>
      <c r="F9" s="424"/>
      <c r="G9" s="424"/>
      <c r="H9" s="424"/>
    </row>
    <row r="10" spans="1:8">
      <c r="A10" s="423" t="s">
        <v>123</v>
      </c>
      <c r="B10" s="424" t="s">
        <v>446</v>
      </c>
      <c r="C10" s="424"/>
      <c r="D10" s="424"/>
      <c r="E10" s="424"/>
      <c r="F10" s="424"/>
      <c r="G10" s="424"/>
      <c r="H10" s="424"/>
    </row>
    <row r="12" spans="1:8">
      <c r="A12" s="569" t="s">
        <v>456</v>
      </c>
      <c r="B12" s="569"/>
      <c r="C12" s="569"/>
      <c r="D12" s="569"/>
      <c r="E12" s="569"/>
      <c r="F12" s="569"/>
      <c r="G12" s="569"/>
      <c r="H12" s="569"/>
    </row>
    <row r="14" spans="1:8">
      <c r="A14" s="424" t="s">
        <v>370</v>
      </c>
    </row>
    <row r="16" spans="1:8">
      <c r="A16" s="422" t="s">
        <v>459</v>
      </c>
      <c r="B16" s="425">
        <v>51.83</v>
      </c>
      <c r="D16" s="422" t="s">
        <v>460</v>
      </c>
      <c r="E16" s="426">
        <v>0.26150000000000001</v>
      </c>
    </row>
    <row r="18" spans="1:5">
      <c r="A18" s="422" t="s">
        <v>461</v>
      </c>
      <c r="C18" s="422" t="s">
        <v>462</v>
      </c>
      <c r="D18" s="425">
        <f>TRUNC(B16/(1+E16),2)</f>
        <v>41.08</v>
      </c>
    </row>
    <row r="21" spans="1:5">
      <c r="A21" s="427" t="s">
        <v>185</v>
      </c>
      <c r="B21" s="428">
        <f>D18</f>
        <v>41.08</v>
      </c>
    </row>
    <row r="23" spans="1:5">
      <c r="A23" s="424" t="s">
        <v>458</v>
      </c>
    </row>
    <row r="25" spans="1:5">
      <c r="A25" s="422" t="s">
        <v>459</v>
      </c>
      <c r="B25" s="425">
        <v>16.010000000000002</v>
      </c>
      <c r="D25" s="422" t="s">
        <v>460</v>
      </c>
      <c r="E25" s="426">
        <v>0.26150000000000001</v>
      </c>
    </row>
    <row r="27" spans="1:5">
      <c r="A27" s="422" t="s">
        <v>461</v>
      </c>
      <c r="C27" s="422" t="s">
        <v>462</v>
      </c>
      <c r="D27" s="425">
        <f>TRUNC(B25/(1+E25),2)</f>
        <v>12.69</v>
      </c>
    </row>
    <row r="30" spans="1:5">
      <c r="A30" s="427" t="s">
        <v>185</v>
      </c>
      <c r="B30" s="428">
        <f>D27</f>
        <v>12.69</v>
      </c>
    </row>
    <row r="32" spans="1:5">
      <c r="A32" s="424" t="s">
        <v>152</v>
      </c>
    </row>
    <row r="34" spans="1:5">
      <c r="A34" s="422" t="s">
        <v>459</v>
      </c>
      <c r="B34" s="425">
        <v>16.010000000000002</v>
      </c>
      <c r="D34" s="422" t="s">
        <v>460</v>
      </c>
      <c r="E34" s="426">
        <v>0.26150000000000001</v>
      </c>
    </row>
    <row r="36" spans="1:5">
      <c r="A36" s="422" t="s">
        <v>461</v>
      </c>
      <c r="C36" s="422" t="s">
        <v>462</v>
      </c>
      <c r="D36" s="425">
        <f>TRUNC(B34/(1+E34),2)</f>
        <v>12.69</v>
      </c>
    </row>
    <row r="39" spans="1:5">
      <c r="A39" s="427" t="s">
        <v>185</v>
      </c>
      <c r="B39" s="428">
        <f>D36</f>
        <v>12.69</v>
      </c>
    </row>
  </sheetData>
  <mergeCells count="7">
    <mergeCell ref="A12:H12"/>
    <mergeCell ref="B1:E1"/>
    <mergeCell ref="B2:E2"/>
    <mergeCell ref="B3:E3"/>
    <mergeCell ref="B4:E4"/>
    <mergeCell ref="A5:H5"/>
    <mergeCell ref="A7:H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topLeftCell="A11" zoomScaleSheetLayoutView="100" workbookViewId="0">
      <selection activeCell="A15" sqref="A15:F15"/>
    </sheetView>
  </sheetViews>
  <sheetFormatPr defaultColWidth="9.140625" defaultRowHeight="15"/>
  <cols>
    <col min="1" max="1" width="10.85546875" style="429" bestFit="1" customWidth="1"/>
    <col min="2" max="2" width="49.28515625" style="97" customWidth="1"/>
    <col min="3" max="3" width="21.85546875" style="97" customWidth="1"/>
    <col min="4" max="4" width="14.28515625" style="97" bestFit="1" customWidth="1"/>
    <col min="5" max="5" width="12" style="97" customWidth="1"/>
    <col min="6" max="6" width="12.7109375" style="97" customWidth="1"/>
    <col min="7" max="7" width="9.140625" style="431"/>
    <col min="8" max="16384" width="9.140625" style="97"/>
  </cols>
  <sheetData>
    <row r="1" spans="1:9">
      <c r="F1" s="430"/>
    </row>
    <row r="2" spans="1:9">
      <c r="F2" s="430"/>
    </row>
    <row r="3" spans="1:9">
      <c r="F3" s="430"/>
    </row>
    <row r="5" spans="1:9">
      <c r="A5" s="574" t="s">
        <v>374</v>
      </c>
      <c r="B5" s="574"/>
      <c r="C5" s="574"/>
      <c r="D5" s="574"/>
      <c r="E5" s="574"/>
      <c r="F5" s="574"/>
    </row>
    <row r="6" spans="1:9" ht="12.95" customHeight="1">
      <c r="A6" s="430"/>
      <c r="B6" s="430"/>
      <c r="C6" s="430"/>
      <c r="D6" s="430"/>
      <c r="E6" s="430"/>
      <c r="F6" s="430"/>
    </row>
    <row r="7" spans="1:9" ht="12.6" customHeight="1">
      <c r="A7" s="432"/>
      <c r="B7" s="432"/>
      <c r="C7" s="432"/>
      <c r="D7" s="432"/>
      <c r="E7" s="432"/>
      <c r="F7" s="432"/>
    </row>
    <row r="8" spans="1:9">
      <c r="A8" s="575" t="s">
        <v>463</v>
      </c>
      <c r="B8" s="576"/>
      <c r="C8" s="576"/>
      <c r="D8" s="576"/>
      <c r="E8" s="576"/>
      <c r="F8" s="576"/>
    </row>
    <row r="9" spans="1:9">
      <c r="A9" s="433" t="s">
        <v>464</v>
      </c>
      <c r="B9" s="433"/>
      <c r="C9" s="433"/>
      <c r="D9" s="433"/>
      <c r="E9" s="433"/>
      <c r="F9" s="433"/>
    </row>
    <row r="10" spans="1:9">
      <c r="A10" s="434" t="s">
        <v>121</v>
      </c>
      <c r="B10" s="435" t="s">
        <v>378</v>
      </c>
      <c r="F10" s="436"/>
      <c r="G10" s="436"/>
      <c r="I10" s="437"/>
    </row>
    <row r="11" spans="1:9">
      <c r="A11" s="575" t="s">
        <v>486</v>
      </c>
      <c r="B11" s="575"/>
      <c r="C11" s="575"/>
      <c r="D11" s="575"/>
      <c r="E11" s="575"/>
      <c r="F11" s="575"/>
    </row>
    <row r="12" spans="1:9">
      <c r="A12" s="438" t="s">
        <v>122</v>
      </c>
      <c r="B12" s="577" t="s">
        <v>457</v>
      </c>
      <c r="C12" s="577"/>
      <c r="D12" s="577"/>
      <c r="E12" s="577"/>
      <c r="F12" s="577"/>
    </row>
    <row r="13" spans="1:9">
      <c r="A13" s="438"/>
      <c r="B13" s="439"/>
      <c r="C13" s="439"/>
      <c r="D13" s="439"/>
      <c r="E13" s="439"/>
      <c r="F13" s="439"/>
    </row>
    <row r="14" spans="1:9" ht="12.95" customHeight="1">
      <c r="F14" s="430"/>
    </row>
    <row r="15" spans="1:9" ht="18.75">
      <c r="A15" s="578" t="s">
        <v>465</v>
      </c>
      <c r="B15" s="578"/>
      <c r="C15" s="578"/>
      <c r="D15" s="578"/>
      <c r="E15" s="578"/>
      <c r="F15" s="578"/>
    </row>
    <row r="16" spans="1:9" ht="18.75">
      <c r="A16" s="432"/>
      <c r="B16" s="432"/>
      <c r="C16" s="432"/>
      <c r="D16" s="432"/>
      <c r="E16" s="432"/>
      <c r="F16" s="432"/>
    </row>
    <row r="17" spans="1:7">
      <c r="A17" s="438"/>
      <c r="B17" s="439"/>
      <c r="C17" s="439"/>
      <c r="D17" s="439"/>
      <c r="E17" s="439"/>
      <c r="F17" s="439"/>
    </row>
    <row r="18" spans="1:7">
      <c r="A18" s="438" t="s">
        <v>466</v>
      </c>
      <c r="B18" s="439" t="s">
        <v>467</v>
      </c>
      <c r="C18" s="439"/>
      <c r="D18" s="439"/>
      <c r="E18" s="439"/>
      <c r="F18" s="439"/>
    </row>
    <row r="19" spans="1:7">
      <c r="A19" s="438" t="s">
        <v>43</v>
      </c>
      <c r="B19" s="439" t="s">
        <v>85</v>
      </c>
      <c r="C19" s="439"/>
      <c r="D19" s="439"/>
      <c r="E19" s="439"/>
      <c r="F19" s="439"/>
    </row>
    <row r="21" spans="1:7" s="429" customFormat="1">
      <c r="A21" s="440" t="s">
        <v>271</v>
      </c>
      <c r="B21" s="440" t="s">
        <v>468</v>
      </c>
      <c r="C21" s="440" t="s">
        <v>469</v>
      </c>
      <c r="D21" s="440" t="s">
        <v>470</v>
      </c>
      <c r="E21" s="440" t="s">
        <v>471</v>
      </c>
      <c r="F21" s="440" t="s">
        <v>472</v>
      </c>
      <c r="G21" s="441"/>
    </row>
    <row r="22" spans="1:7">
      <c r="A22" s="442" t="s">
        <v>134</v>
      </c>
      <c r="B22" s="443" t="s">
        <v>473</v>
      </c>
      <c r="C22" s="443" t="s">
        <v>474</v>
      </c>
      <c r="D22" s="97" t="s">
        <v>475</v>
      </c>
      <c r="E22" s="444">
        <v>2.5</v>
      </c>
      <c r="F22" s="444">
        <f>16*E22</f>
        <v>40</v>
      </c>
    </row>
    <row r="23" spans="1:7">
      <c r="A23" s="442" t="s">
        <v>143</v>
      </c>
      <c r="B23" s="443" t="s">
        <v>476</v>
      </c>
      <c r="C23" s="443" t="s">
        <v>477</v>
      </c>
      <c r="D23" s="443" t="s">
        <v>478</v>
      </c>
      <c r="E23" s="445">
        <v>3.5</v>
      </c>
      <c r="F23" s="444">
        <f>16*E23</f>
        <v>56</v>
      </c>
    </row>
    <row r="24" spans="1:7">
      <c r="A24" s="442" t="s">
        <v>165</v>
      </c>
      <c r="B24" s="443" t="s">
        <v>479</v>
      </c>
      <c r="C24" s="443" t="s">
        <v>480</v>
      </c>
      <c r="D24" s="443" t="s">
        <v>481</v>
      </c>
      <c r="E24" s="445">
        <v>1.8</v>
      </c>
      <c r="F24" s="444">
        <f>16*E24</f>
        <v>28.8</v>
      </c>
    </row>
    <row r="25" spans="1:7">
      <c r="D25" s="446" t="s">
        <v>482</v>
      </c>
      <c r="E25" s="447">
        <f>MEDIAN(E22:E24)</f>
        <v>2.5</v>
      </c>
      <c r="F25" s="447">
        <f>MEDIAN(F22:F24)</f>
        <v>40</v>
      </c>
    </row>
    <row r="26" spans="1:7">
      <c r="F26" s="448"/>
    </row>
    <row r="27" spans="1:7">
      <c r="F27" s="448"/>
    </row>
    <row r="28" spans="1:7">
      <c r="F28" s="448"/>
    </row>
    <row r="29" spans="1:7">
      <c r="F29" s="448"/>
    </row>
    <row r="30" spans="1:7">
      <c r="F30" s="448"/>
    </row>
    <row r="31" spans="1:7">
      <c r="F31" s="448"/>
    </row>
    <row r="32" spans="1:7">
      <c r="F32" s="448"/>
    </row>
    <row r="33" spans="1:9" ht="11.45" customHeight="1"/>
    <row r="34" spans="1:9">
      <c r="A34" s="97"/>
      <c r="B34" s="449"/>
      <c r="C34" s="449"/>
      <c r="D34" s="449"/>
      <c r="E34" s="449"/>
      <c r="F34" s="450" t="s">
        <v>522</v>
      </c>
    </row>
    <row r="35" spans="1:9">
      <c r="A35" s="97"/>
      <c r="B35" s="449"/>
      <c r="C35" s="449"/>
      <c r="D35" s="449"/>
      <c r="E35" s="449"/>
      <c r="F35" s="449"/>
    </row>
    <row r="36" spans="1:9">
      <c r="A36" s="97"/>
      <c r="B36" s="449"/>
      <c r="C36" s="449"/>
      <c r="D36" s="449"/>
      <c r="E36" s="449"/>
      <c r="F36" s="449"/>
    </row>
    <row r="37" spans="1:9">
      <c r="A37" s="573" t="s">
        <v>483</v>
      </c>
      <c r="B37" s="573"/>
      <c r="C37" s="573"/>
      <c r="D37" s="573"/>
      <c r="E37" s="573"/>
      <c r="F37" s="573"/>
    </row>
    <row r="38" spans="1:9">
      <c r="A38" s="572" t="s">
        <v>484</v>
      </c>
      <c r="B38" s="572"/>
      <c r="C38" s="572"/>
      <c r="D38" s="572"/>
      <c r="E38" s="572"/>
      <c r="F38" s="572"/>
    </row>
    <row r="39" spans="1:9">
      <c r="A39" s="573" t="s">
        <v>305</v>
      </c>
      <c r="B39" s="573"/>
      <c r="C39" s="573"/>
      <c r="D39" s="573"/>
      <c r="E39" s="573"/>
      <c r="F39" s="573"/>
    </row>
    <row r="40" spans="1:9" s="431" customFormat="1">
      <c r="A40" s="573" t="s">
        <v>485</v>
      </c>
      <c r="B40" s="573"/>
      <c r="C40" s="573"/>
      <c r="D40" s="573"/>
      <c r="E40" s="573"/>
      <c r="F40" s="573"/>
      <c r="H40" s="97"/>
      <c r="I40" s="97"/>
    </row>
  </sheetData>
  <mergeCells count="9">
    <mergeCell ref="A38:F38"/>
    <mergeCell ref="A39:F39"/>
    <mergeCell ref="A40:F40"/>
    <mergeCell ref="A5:F5"/>
    <mergeCell ref="A8:F8"/>
    <mergeCell ref="A11:F11"/>
    <mergeCell ref="B12:F12"/>
    <mergeCell ref="A15:F15"/>
    <mergeCell ref="A37:F37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67" orientation="portrait" horizontalDpi="4294967293" vertic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Planilha11">
    <tabColor theme="0" tint="-0.249977111117893"/>
  </sheetPr>
  <dimension ref="A1:O69"/>
  <sheetViews>
    <sheetView view="pageBreakPreview" topLeftCell="A47" zoomScale="85" zoomScaleSheetLayoutView="85" workbookViewId="0">
      <selection activeCell="N58" sqref="N58"/>
    </sheetView>
  </sheetViews>
  <sheetFormatPr defaultColWidth="9.140625" defaultRowHeight="14.25"/>
  <cols>
    <col min="1" max="1" width="6.28515625" style="153" customWidth="1"/>
    <col min="2" max="2" width="15.28515625" style="182" customWidth="1"/>
    <col min="3" max="3" width="62.7109375" style="153" customWidth="1"/>
    <col min="4" max="4" width="14.85546875" style="163" customWidth="1"/>
    <col min="5" max="5" width="17.7109375" style="163" customWidth="1"/>
    <col min="6" max="6" width="15.85546875" style="182" customWidth="1"/>
    <col min="7" max="7" width="15.28515625" style="182" customWidth="1"/>
    <col min="8" max="8" width="15.7109375" style="163" customWidth="1"/>
    <col min="9" max="9" width="16.28515625" style="182" customWidth="1"/>
    <col min="10" max="10" width="16.42578125" style="182" customWidth="1"/>
    <col min="11" max="11" width="14.7109375" style="163" customWidth="1"/>
    <col min="12" max="12" width="16.28515625" style="182" customWidth="1"/>
    <col min="13" max="13" width="15.28515625" style="182" customWidth="1"/>
    <col min="14" max="14" width="15.7109375" style="182" customWidth="1"/>
    <col min="15" max="15" width="12.28515625" style="153" customWidth="1"/>
    <col min="16" max="16" width="11.7109375" style="153" bestFit="1" customWidth="1"/>
    <col min="17" max="16384" width="9.140625" style="153"/>
  </cols>
  <sheetData>
    <row r="1" spans="1:15">
      <c r="B1" s="153"/>
      <c r="D1" s="153"/>
      <c r="E1" s="153"/>
      <c r="H1" s="182"/>
      <c r="K1" s="182"/>
    </row>
    <row r="2" spans="1:15">
      <c r="B2" s="154"/>
      <c r="C2" s="182"/>
      <c r="D2" s="182"/>
      <c r="E2" s="182"/>
      <c r="H2" s="182"/>
      <c r="K2" s="182"/>
    </row>
    <row r="3" spans="1:15" ht="15.6" customHeight="1">
      <c r="B3" s="153"/>
      <c r="D3" s="153"/>
      <c r="E3" s="153"/>
      <c r="H3" s="182"/>
      <c r="K3" s="182"/>
    </row>
    <row r="4" spans="1:15" ht="15.6" customHeight="1">
      <c r="B4" s="153"/>
      <c r="D4" s="153"/>
      <c r="E4" s="153"/>
      <c r="H4" s="182"/>
      <c r="K4" s="182"/>
    </row>
    <row r="5" spans="1:15" ht="15.6" customHeight="1">
      <c r="B5" s="153"/>
      <c r="D5" s="153"/>
      <c r="E5" s="153"/>
      <c r="H5" s="182"/>
      <c r="K5" s="182"/>
    </row>
    <row r="6" spans="1:15" ht="15.6" customHeight="1">
      <c r="B6" s="153"/>
      <c r="D6" s="153"/>
      <c r="E6" s="153"/>
      <c r="H6" s="182"/>
      <c r="K6" s="182"/>
    </row>
    <row r="7" spans="1:15" ht="18.75" customHeight="1">
      <c r="B7" s="581" t="str">
        <f>'RUA 1'!$B$5:$I$5</f>
        <v>PREFEITURA MUNICIPAL DE ITAPOROROCA</v>
      </c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</row>
    <row r="8" spans="1:15">
      <c r="B8" s="379"/>
      <c r="D8" s="153"/>
      <c r="E8" s="153"/>
      <c r="F8" s="153"/>
      <c r="G8" s="153"/>
      <c r="H8" s="182"/>
      <c r="K8" s="182"/>
    </row>
    <row r="9" spans="1:15" ht="18.75" customHeight="1">
      <c r="B9" s="581" t="s">
        <v>445</v>
      </c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</row>
    <row r="10" spans="1:15" ht="18">
      <c r="B10" s="392"/>
      <c r="C10" s="192"/>
      <c r="D10" s="192"/>
      <c r="E10" s="192"/>
      <c r="H10" s="192"/>
      <c r="K10" s="192"/>
    </row>
    <row r="11" spans="1:15" ht="15" customHeight="1">
      <c r="B11" s="155" t="s">
        <v>250</v>
      </c>
      <c r="C11" s="156"/>
      <c r="D11" s="156"/>
      <c r="E11" s="156"/>
      <c r="H11" s="156"/>
      <c r="K11" s="156"/>
    </row>
    <row r="12" spans="1:15" ht="15" customHeight="1">
      <c r="B12" s="155" t="s">
        <v>251</v>
      </c>
      <c r="C12" s="156"/>
      <c r="D12" s="156"/>
      <c r="E12" s="156"/>
      <c r="H12" s="156"/>
      <c r="K12" s="156"/>
    </row>
    <row r="13" spans="1:15" s="157" customFormat="1" ht="15.75" customHeight="1">
      <c r="B13" s="158" t="s">
        <v>121</v>
      </c>
      <c r="C13" s="159" t="str">
        <f>'RUA 1'!C11</f>
        <v>1054116-72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60"/>
    </row>
    <row r="14" spans="1:15" s="182" customFormat="1" ht="15" customHeight="1">
      <c r="A14" s="153"/>
      <c r="B14" s="161" t="s">
        <v>122</v>
      </c>
      <c r="C14" s="515" t="str">
        <f>'RUA 1'!C12</f>
        <v>Pavimentação de diversas ruas no município de Itapororoca</v>
      </c>
      <c r="D14" s="515"/>
      <c r="E14" s="162"/>
      <c r="H14" s="162"/>
      <c r="K14" s="162"/>
    </row>
    <row r="15" spans="1:15" s="182" customFormat="1" ht="15">
      <c r="A15" s="153"/>
      <c r="B15" s="161" t="s">
        <v>123</v>
      </c>
      <c r="C15" s="162" t="s">
        <v>252</v>
      </c>
      <c r="D15" s="162"/>
      <c r="E15" s="162"/>
      <c r="H15" s="162"/>
      <c r="K15" s="162"/>
    </row>
    <row r="16" spans="1:15" s="182" customFormat="1" ht="15">
      <c r="A16" s="153"/>
      <c r="C16" s="153"/>
      <c r="D16" s="163"/>
      <c r="H16" s="163"/>
      <c r="I16" s="164"/>
      <c r="J16" s="164"/>
      <c r="M16" s="163" t="s">
        <v>124</v>
      </c>
      <c r="N16" s="164">
        <v>0.87309999999999999</v>
      </c>
    </row>
    <row r="17" spans="1:14" s="182" customFormat="1" ht="29.45" customHeight="1">
      <c r="A17" s="153"/>
      <c r="B17" s="379" t="s">
        <v>253</v>
      </c>
      <c r="C17" s="393" t="str">
        <f>'RUA 1'!D15</f>
        <v>Sistema Nacional de Pesquisas de Custos e Índices da Construção Civil - SINAPI / Outubro - 2018</v>
      </c>
      <c r="D17" s="162"/>
      <c r="E17" s="162"/>
      <c r="H17" s="163"/>
      <c r="I17" s="165"/>
      <c r="J17" s="165"/>
      <c r="K17" s="165"/>
      <c r="M17" s="163" t="s">
        <v>126</v>
      </c>
      <c r="N17" s="165">
        <f>BDI!I14</f>
        <v>0</v>
      </c>
    </row>
    <row r="19" spans="1:14" s="182" customFormat="1" ht="15" customHeight="1">
      <c r="A19" s="153"/>
      <c r="B19" s="584" t="s">
        <v>46</v>
      </c>
      <c r="C19" s="586" t="s">
        <v>128</v>
      </c>
      <c r="D19" s="587" t="s">
        <v>131</v>
      </c>
      <c r="E19" s="589"/>
      <c r="F19" s="589"/>
      <c r="G19" s="590"/>
      <c r="H19" s="386"/>
      <c r="I19" s="386"/>
      <c r="J19" s="386"/>
      <c r="K19" s="386"/>
      <c r="L19" s="386"/>
      <c r="M19" s="386"/>
      <c r="N19" s="386"/>
    </row>
    <row r="20" spans="1:14" s="182" customFormat="1" ht="39.6" customHeight="1">
      <c r="A20" s="153"/>
      <c r="B20" s="585"/>
      <c r="C20" s="586"/>
      <c r="D20" s="588"/>
      <c r="E20" s="166" t="str">
        <f>'MEMORIAL 1'!A2</f>
        <v>Rua do Tambor</v>
      </c>
      <c r="F20" s="166" t="str">
        <f>'MEMORIAL 2'!A2</f>
        <v>Rua Vitorino Miguel de Oliveira</v>
      </c>
      <c r="G20" s="166" t="str">
        <f>'MEMORIAL 3'!A2</f>
        <v>Rua Julia Ferreira da Silva</v>
      </c>
      <c r="H20" s="166" t="str">
        <f>'MEMORIAL 4'!A2</f>
        <v>Rua Sebastião Viana Fernandes</v>
      </c>
      <c r="I20" s="166" t="str">
        <f>'MEMORIAL 5'!A2</f>
        <v>Rua José Evangelista da Silva</v>
      </c>
      <c r="J20" s="166" t="str">
        <f>'MEMORIAL 6'!A2</f>
        <v>Rua Alzira Joana da Conceição</v>
      </c>
      <c r="K20" s="166" t="str">
        <f>'MEMORIAL 7'!A2</f>
        <v>Rua Marcos Moises de oliveira</v>
      </c>
      <c r="L20" s="166" t="str">
        <f>'MEMORIAL 8'!A2</f>
        <v>Rua Antônio de Matos Barbosa</v>
      </c>
      <c r="M20" s="166" t="str">
        <f>'MEMORIAL 9'!A2</f>
        <v>Rua Josete Maria da Silva Elias</v>
      </c>
      <c r="N20" s="166" t="str">
        <f>'RUA 10'!C13</f>
        <v>Rua Maria Francisca da Conceição</v>
      </c>
    </row>
    <row r="21" spans="1:14" s="182" customFormat="1" ht="7.15" customHeight="1">
      <c r="A21" s="153"/>
      <c r="C21" s="153"/>
      <c r="D21" s="163"/>
      <c r="E21" s="163"/>
      <c r="H21" s="163"/>
      <c r="K21" s="163"/>
    </row>
    <row r="22" spans="1:14" s="182" customFormat="1" ht="15" customHeight="1">
      <c r="A22" s="153"/>
      <c r="B22" s="193" t="s">
        <v>134</v>
      </c>
      <c r="C22" s="579" t="s">
        <v>135</v>
      </c>
      <c r="D22" s="580"/>
      <c r="E22" s="167"/>
      <c r="F22" s="188"/>
      <c r="G22" s="195"/>
      <c r="H22" s="167"/>
      <c r="I22" s="188"/>
      <c r="J22" s="195"/>
      <c r="K22" s="167"/>
      <c r="L22" s="188"/>
      <c r="M22" s="195"/>
      <c r="N22" s="195"/>
    </row>
    <row r="23" spans="1:14" s="182" customFormat="1">
      <c r="A23" s="153"/>
      <c r="B23" s="180" t="s">
        <v>138</v>
      </c>
      <c r="C23" s="181" t="s">
        <v>139</v>
      </c>
      <c r="D23" s="172">
        <f t="shared" ref="D23:D24" si="0">SUM(E23:N23)</f>
        <v>3810.8</v>
      </c>
      <c r="E23" s="172">
        <f>'RUA 1'!I21</f>
        <v>3810.8</v>
      </c>
      <c r="F23" s="173">
        <f>'RUA 2'!I21</f>
        <v>0</v>
      </c>
      <c r="G23" s="173">
        <f>'RUA 3'!I21</f>
        <v>0</v>
      </c>
      <c r="H23" s="172">
        <f>'RUA 4'!I21</f>
        <v>0</v>
      </c>
      <c r="I23" s="173">
        <f>'RUA 5'!I21</f>
        <v>0</v>
      </c>
      <c r="J23" s="173">
        <f>'RUA 6'!I21</f>
        <v>0</v>
      </c>
      <c r="K23" s="172">
        <f>'RUA 7'!I21</f>
        <v>0</v>
      </c>
      <c r="L23" s="173">
        <f>'RUA 8'!I21</f>
        <v>0</v>
      </c>
      <c r="M23" s="173">
        <f>'RUA 9'!I21</f>
        <v>0</v>
      </c>
      <c r="N23" s="173">
        <f>'RUA 10'!I21</f>
        <v>0</v>
      </c>
    </row>
    <row r="24" spans="1:14" s="182" customFormat="1" ht="28.5">
      <c r="A24" s="153"/>
      <c r="B24" s="180" t="s">
        <v>141</v>
      </c>
      <c r="C24" s="181" t="s">
        <v>381</v>
      </c>
      <c r="D24" s="172">
        <f t="shared" si="0"/>
        <v>3569.88</v>
      </c>
      <c r="E24" s="172">
        <f>'RUA 1'!I22</f>
        <v>219.03</v>
      </c>
      <c r="F24" s="173">
        <f>'RUA 2'!I22</f>
        <v>446.88</v>
      </c>
      <c r="G24" s="172">
        <f>'RUA 3'!I22</f>
        <v>600.29999999999995</v>
      </c>
      <c r="H24" s="172">
        <f>'RUA 4'!I22</f>
        <v>181.28</v>
      </c>
      <c r="I24" s="173">
        <f>'RUA 5'!I22</f>
        <v>231.99</v>
      </c>
      <c r="J24" s="173">
        <f>'RUA 6'!I22</f>
        <v>403.97</v>
      </c>
      <c r="K24" s="172">
        <f>'RUA 7'!I22</f>
        <v>125.11</v>
      </c>
      <c r="L24" s="173">
        <f>'RUA 8'!I22</f>
        <v>669.82</v>
      </c>
      <c r="M24" s="173">
        <f>'RUA 9'!I22</f>
        <v>114.88</v>
      </c>
      <c r="N24" s="173">
        <f>'RUA 10'!I22</f>
        <v>576.62</v>
      </c>
    </row>
    <row r="25" spans="1:14" s="182" customFormat="1" ht="28.5">
      <c r="A25" s="153"/>
      <c r="B25" s="180" t="s">
        <v>410</v>
      </c>
      <c r="C25" s="181" t="s">
        <v>142</v>
      </c>
      <c r="D25" s="172">
        <f>SUM(E25:N25)</f>
        <v>2069.1999999999998</v>
      </c>
      <c r="E25" s="172">
        <f>'RUA 1'!I23</f>
        <v>206.92</v>
      </c>
      <c r="F25" s="173">
        <f>'RUA 2'!I23</f>
        <v>206.92</v>
      </c>
      <c r="G25" s="172">
        <f>'RUA 3'!I23</f>
        <v>206.92</v>
      </c>
      <c r="H25" s="172">
        <f>'RUA 4'!I23</f>
        <v>206.92</v>
      </c>
      <c r="I25" s="173">
        <f>'RUA 5'!I23</f>
        <v>206.92</v>
      </c>
      <c r="J25" s="173">
        <f>'RUA 6'!I23</f>
        <v>206.92</v>
      </c>
      <c r="K25" s="172">
        <f>'RUA 7'!I23</f>
        <v>206.92</v>
      </c>
      <c r="L25" s="173">
        <f>'RUA 8'!I23</f>
        <v>206.92</v>
      </c>
      <c r="M25" s="173">
        <f>'RUA 9'!I23</f>
        <v>206.92</v>
      </c>
      <c r="N25" s="173">
        <f>'RUA 10'!I23</f>
        <v>206.92</v>
      </c>
    </row>
    <row r="26" spans="1:14" s="182" customFormat="1" ht="15">
      <c r="A26" s="153"/>
      <c r="B26" s="168"/>
      <c r="C26" s="168"/>
      <c r="D26" s="168"/>
      <c r="E26" s="169"/>
      <c r="F26" s="188"/>
      <c r="G26" s="166"/>
      <c r="H26" s="169"/>
      <c r="I26" s="188"/>
      <c r="J26" s="166"/>
      <c r="K26" s="169"/>
      <c r="L26" s="188"/>
      <c r="M26" s="166"/>
      <c r="N26" s="166"/>
    </row>
    <row r="27" spans="1:14" s="182" customFormat="1" ht="7.15" customHeight="1">
      <c r="A27" s="153"/>
      <c r="C27" s="153"/>
      <c r="D27" s="163"/>
      <c r="E27" s="170"/>
      <c r="H27" s="170"/>
      <c r="K27" s="170"/>
    </row>
    <row r="28" spans="1:14" ht="15">
      <c r="B28" s="193" t="s">
        <v>143</v>
      </c>
      <c r="C28" s="190" t="s">
        <v>144</v>
      </c>
      <c r="D28" s="191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ht="18.75" customHeight="1">
      <c r="B29" s="180" t="s">
        <v>146</v>
      </c>
      <c r="C29" s="360" t="s">
        <v>408</v>
      </c>
      <c r="D29" s="172">
        <f t="shared" ref="D29:D37" si="1">SUM(E29:N29)</f>
        <v>14585.46</v>
      </c>
      <c r="E29" s="172">
        <f>'RUA 1'!I27</f>
        <v>894.88</v>
      </c>
      <c r="F29" s="173">
        <f>'RUA 2'!I27</f>
        <v>1825.81</v>
      </c>
      <c r="G29" s="172">
        <f>'RUA 3'!I27</f>
        <v>2452.64</v>
      </c>
      <c r="H29" s="172">
        <f>'RUA 4'!I27</f>
        <v>740.64</v>
      </c>
      <c r="I29" s="173">
        <f>'RUA 5'!I27</f>
        <v>947.86</v>
      </c>
      <c r="J29" s="172">
        <f>'RUA 6'!I27</f>
        <v>1650.51</v>
      </c>
      <c r="K29" s="172">
        <f>'RUA 7'!I27</f>
        <v>511.15</v>
      </c>
      <c r="L29" s="173">
        <f>'RUA 8'!I27</f>
        <v>2736.69</v>
      </c>
      <c r="M29" s="172">
        <f>'RUA 9'!I27</f>
        <v>469.38</v>
      </c>
      <c r="N29" s="172">
        <f>'RUA 10'!I27</f>
        <v>2355.9</v>
      </c>
    </row>
    <row r="30" spans="1:14">
      <c r="B30" s="180" t="s">
        <v>147</v>
      </c>
      <c r="C30" s="183" t="s">
        <v>370</v>
      </c>
      <c r="D30" s="172">
        <f t="shared" si="1"/>
        <v>511306.95</v>
      </c>
      <c r="E30" s="172">
        <f>'RUA 1'!I28</f>
        <v>31370.85</v>
      </c>
      <c r="F30" s="173">
        <f>'RUA 2'!I28</f>
        <v>64005.48</v>
      </c>
      <c r="G30" s="172">
        <f>'RUA 3'!I28</f>
        <v>85979.47</v>
      </c>
      <c r="H30" s="172">
        <f>'RUA 4'!I28</f>
        <v>25963.83</v>
      </c>
      <c r="I30" s="173">
        <f>'RUA 5'!I28</f>
        <v>33228.17</v>
      </c>
      <c r="J30" s="172">
        <f>'RUA 6'!I28</f>
        <v>57860.05</v>
      </c>
      <c r="K30" s="172">
        <f>'RUA 7'!I28</f>
        <v>17918.97</v>
      </c>
      <c r="L30" s="173">
        <f>'RUA 8'!I28</f>
        <v>95937.29</v>
      </c>
      <c r="M30" s="172">
        <f>'RUA 9'!I28</f>
        <v>16454.669999999998</v>
      </c>
      <c r="N30" s="172">
        <f>'RUA 10'!I28</f>
        <v>82588.17</v>
      </c>
    </row>
    <row r="31" spans="1:14" ht="16.5" customHeight="1">
      <c r="B31" s="180" t="s">
        <v>151</v>
      </c>
      <c r="C31" s="183" t="s">
        <v>369</v>
      </c>
      <c r="D31" s="172">
        <f t="shared" si="1"/>
        <v>47853.57</v>
      </c>
      <c r="E31" s="172">
        <f>'RUA 1'!I29</f>
        <v>2833.59</v>
      </c>
      <c r="F31" s="173">
        <f>'RUA 2'!I29</f>
        <v>5825.17</v>
      </c>
      <c r="G31" s="172">
        <f>'RUA 3'!I29</f>
        <v>8719.7900000000009</v>
      </c>
      <c r="H31" s="172">
        <f>'RUA 4'!I29</f>
        <v>2529.52</v>
      </c>
      <c r="I31" s="173">
        <f>'RUA 5'!I29</f>
        <v>3277.37</v>
      </c>
      <c r="J31" s="172">
        <f>'RUA 6'!I29</f>
        <v>5297.27</v>
      </c>
      <c r="K31" s="172">
        <f>'RUA 7'!I29</f>
        <v>2025.94</v>
      </c>
      <c r="L31" s="173">
        <f>'RUA 8'!I29</f>
        <v>7927.47</v>
      </c>
      <c r="M31" s="172">
        <f>'RUA 9'!I29</f>
        <v>1852.91</v>
      </c>
      <c r="N31" s="172">
        <f>'RUA 10'!I29</f>
        <v>7564.54</v>
      </c>
    </row>
    <row r="32" spans="1:14" ht="29.25" customHeight="1">
      <c r="B32" s="180" t="s">
        <v>153</v>
      </c>
      <c r="C32" s="183" t="s">
        <v>152</v>
      </c>
      <c r="D32" s="172">
        <f t="shared" si="1"/>
        <v>3283.88</v>
      </c>
      <c r="E32" s="172">
        <f>'RUA 1'!I30</f>
        <v>216.86</v>
      </c>
      <c r="F32" s="173">
        <f>'RUA 2'!I30</f>
        <v>464.7</v>
      </c>
      <c r="G32" s="172">
        <f>'RUA 3'!I30</f>
        <v>269.52999999999997</v>
      </c>
      <c r="H32" s="172">
        <f>'RUA 4'!I30</f>
        <v>185.88</v>
      </c>
      <c r="I32" s="173">
        <f>'RUA 5'!I30</f>
        <v>185.88</v>
      </c>
      <c r="J32" s="172">
        <f>'RUA 6'!I30</f>
        <v>288.11</v>
      </c>
      <c r="K32" s="172">
        <f>'RUA 7'!I30</f>
        <v>0</v>
      </c>
      <c r="L32" s="173">
        <f>'RUA 8'!I30</f>
        <v>836.46</v>
      </c>
      <c r="M32" s="172">
        <f>'RUA 9'!I30</f>
        <v>0</v>
      </c>
      <c r="N32" s="172">
        <f>'RUA 10'!I30</f>
        <v>836.46</v>
      </c>
    </row>
    <row r="33" spans="2:14" ht="30" customHeight="1">
      <c r="B33" s="180" t="s">
        <v>155</v>
      </c>
      <c r="C33" s="183" t="s">
        <v>254</v>
      </c>
      <c r="D33" s="172">
        <f t="shared" si="1"/>
        <v>141737.01999999999</v>
      </c>
      <c r="E33" s="172">
        <f>'RUA 1'!I31</f>
        <v>10051.5</v>
      </c>
      <c r="F33" s="173">
        <f>'RUA 2'!I31</f>
        <v>15012.12</v>
      </c>
      <c r="G33" s="172">
        <f>'RUA 3'!I31</f>
        <v>23525.3</v>
      </c>
      <c r="H33" s="172">
        <f>'RUA 4'!I31</f>
        <v>6323.62</v>
      </c>
      <c r="I33" s="173">
        <f>'RUA 5'!I31</f>
        <v>8692.2000000000007</v>
      </c>
      <c r="J33" s="172">
        <f>'RUA 6'!I31</f>
        <v>13421.95</v>
      </c>
      <c r="K33" s="172">
        <f>'RUA 7'!I31</f>
        <v>6541.53</v>
      </c>
      <c r="L33" s="173">
        <f>'RUA 8'!I31</f>
        <v>27547.01</v>
      </c>
      <c r="M33" s="172">
        <f>'RUA 9'!I31</f>
        <v>5782.87</v>
      </c>
      <c r="N33" s="172">
        <f>'RUA 10'!I31</f>
        <v>24838.92</v>
      </c>
    </row>
    <row r="34" spans="2:14" ht="41.45" customHeight="1">
      <c r="B34" s="180" t="s">
        <v>157</v>
      </c>
      <c r="C34" s="171" t="s">
        <v>255</v>
      </c>
      <c r="D34" s="172">
        <f t="shared" si="1"/>
        <v>31182.48</v>
      </c>
      <c r="E34" s="172">
        <v>0</v>
      </c>
      <c r="F34" s="173">
        <f>'RUA 2'!I32</f>
        <v>5423.04</v>
      </c>
      <c r="G34" s="172">
        <f>'RUA 3'!I32</f>
        <v>6778.8</v>
      </c>
      <c r="H34" s="172">
        <f>'RUA 4'!I32</f>
        <v>2711.52</v>
      </c>
      <c r="I34" s="173">
        <f>'RUA 5'!I32</f>
        <v>2711.52</v>
      </c>
      <c r="J34" s="172">
        <f>'RUA 6'!I32</f>
        <v>5423.04</v>
      </c>
      <c r="K34" s="172">
        <v>0</v>
      </c>
      <c r="L34" s="173">
        <v>0</v>
      </c>
      <c r="M34" s="172">
        <v>0</v>
      </c>
      <c r="N34" s="172">
        <f>'RUA 10'!I32</f>
        <v>8134.56</v>
      </c>
    </row>
    <row r="35" spans="2:14" ht="41.45" customHeight="1">
      <c r="B35" s="180" t="s">
        <v>159</v>
      </c>
      <c r="C35" s="171" t="s">
        <v>411</v>
      </c>
      <c r="D35" s="172">
        <f t="shared" si="1"/>
        <v>20915.52</v>
      </c>
      <c r="E35" s="172">
        <f>'RUA 1'!I32</f>
        <v>3485.92</v>
      </c>
      <c r="F35" s="173">
        <v>0</v>
      </c>
      <c r="G35" s="172">
        <v>0</v>
      </c>
      <c r="H35" s="172">
        <v>0</v>
      </c>
      <c r="I35" s="173">
        <v>0</v>
      </c>
      <c r="J35" s="172">
        <v>0</v>
      </c>
      <c r="K35" s="172">
        <f>'RUA 7'!I32</f>
        <v>3485.92</v>
      </c>
      <c r="L35" s="173">
        <f>'RUA 8'!I32</f>
        <v>10457.76</v>
      </c>
      <c r="M35" s="172">
        <f>'RUA 9'!I32</f>
        <v>3485.92</v>
      </c>
      <c r="N35" s="172">
        <v>0</v>
      </c>
    </row>
    <row r="36" spans="2:14" ht="54.75" customHeight="1">
      <c r="B36" s="180" t="s">
        <v>163</v>
      </c>
      <c r="C36" s="171" t="s">
        <v>105</v>
      </c>
      <c r="D36" s="172">
        <f t="shared" si="1"/>
        <v>52974.29</v>
      </c>
      <c r="E36" s="172">
        <f>'RUA 1'!I33</f>
        <v>3149.77</v>
      </c>
      <c r="F36" s="173">
        <f>'RUA 2'!I33</f>
        <v>6613.45</v>
      </c>
      <c r="G36" s="172">
        <f>'RUA 3'!I33</f>
        <v>9946.94</v>
      </c>
      <c r="H36" s="172">
        <f>'RUA 4'!I33</f>
        <v>2746.06</v>
      </c>
      <c r="I36" s="173">
        <f>'RUA 5'!I33</f>
        <v>3760.28</v>
      </c>
      <c r="J36" s="172">
        <f>'RUA 6'!I33</f>
        <v>5787.9</v>
      </c>
      <c r="K36" s="172">
        <f>'RUA 7'!I33</f>
        <v>2035.03</v>
      </c>
      <c r="L36" s="173">
        <f>'RUA 8'!I33</f>
        <v>8811.61</v>
      </c>
      <c r="M36" s="172">
        <f>'RUA 9'!I33</f>
        <v>1805.16</v>
      </c>
      <c r="N36" s="172">
        <f>'RUA 10'!I33</f>
        <v>8318.09</v>
      </c>
    </row>
    <row r="37" spans="2:14">
      <c r="B37" s="180" t="s">
        <v>365</v>
      </c>
      <c r="C37" s="183" t="s">
        <v>160</v>
      </c>
      <c r="D37" s="172">
        <f t="shared" si="1"/>
        <v>963.88</v>
      </c>
      <c r="E37" s="172">
        <f>'RUA 1'!I34</f>
        <v>57.08</v>
      </c>
      <c r="F37" s="173">
        <f>'RUA 2'!I34</f>
        <v>117.33</v>
      </c>
      <c r="G37" s="172">
        <f>'RUA 3'!I34</f>
        <v>175.64</v>
      </c>
      <c r="H37" s="172">
        <f>'RUA 4'!I34</f>
        <v>50.95</v>
      </c>
      <c r="I37" s="173">
        <f>'RUA 5'!I34</f>
        <v>66.010000000000005</v>
      </c>
      <c r="J37" s="172">
        <f>'RUA 6'!I34</f>
        <v>106.69</v>
      </c>
      <c r="K37" s="172">
        <f>'RUA 7'!I34</f>
        <v>40.81</v>
      </c>
      <c r="L37" s="173">
        <f>'RUA 8'!I34</f>
        <v>159.66999999999999</v>
      </c>
      <c r="M37" s="172">
        <f>'RUA 9'!I34</f>
        <v>37.33</v>
      </c>
      <c r="N37" s="172">
        <f>'RUA 10'!I34</f>
        <v>152.37</v>
      </c>
    </row>
    <row r="38" spans="2:14" ht="16.899999999999999" customHeight="1">
      <c r="B38" s="180" t="s">
        <v>412</v>
      </c>
      <c r="C38" s="184" t="str">
        <f>'RUA 1'!E35</f>
        <v>Fornecimento e implantação de placa em aço - película I + I</v>
      </c>
      <c r="D38" s="172">
        <f>SUM(E38:N38)</f>
        <v>1649.86</v>
      </c>
      <c r="E38" s="172">
        <f>'RUA 1'!I35</f>
        <v>63.46</v>
      </c>
      <c r="F38" s="173">
        <f>'RUA 2'!I35</f>
        <v>126.91</v>
      </c>
      <c r="G38" s="172">
        <f>'RUA 3'!I35</f>
        <v>393.43</v>
      </c>
      <c r="H38" s="172">
        <f>'RUA 4'!I35</f>
        <v>0</v>
      </c>
      <c r="I38" s="173">
        <f>'RUA 5'!I35</f>
        <v>152.29</v>
      </c>
      <c r="J38" s="172">
        <f>'RUA 6'!I35</f>
        <v>126.91</v>
      </c>
      <c r="K38" s="172">
        <f>'RUA 7'!I35</f>
        <v>177.68</v>
      </c>
      <c r="L38" s="173">
        <f>'RUA 8'!I35</f>
        <v>215.75</v>
      </c>
      <c r="M38" s="172">
        <f>'RUA 9'!I35</f>
        <v>177.68</v>
      </c>
      <c r="N38" s="172">
        <f>'RUA 10'!I35</f>
        <v>215.75</v>
      </c>
    </row>
    <row r="39" spans="2:14" ht="15">
      <c r="B39" s="174"/>
      <c r="C39" s="168"/>
      <c r="D39" s="168"/>
      <c r="E39" s="175"/>
      <c r="F39" s="188"/>
      <c r="G39" s="188"/>
      <c r="H39" s="175"/>
      <c r="I39" s="188"/>
      <c r="J39" s="188"/>
      <c r="K39" s="175"/>
      <c r="L39" s="188"/>
      <c r="M39" s="188"/>
      <c r="N39" s="188"/>
    </row>
    <row r="40" spans="2:14" ht="7.15" customHeight="1">
      <c r="G40" s="383"/>
      <c r="J40" s="383"/>
      <c r="M40" s="383"/>
      <c r="N40" s="383"/>
    </row>
    <row r="41" spans="2:14" ht="15">
      <c r="B41" s="193" t="s">
        <v>165</v>
      </c>
      <c r="C41" s="190" t="s">
        <v>309</v>
      </c>
      <c r="D41" s="191"/>
      <c r="E41" s="188"/>
      <c r="F41" s="188"/>
      <c r="G41" s="188"/>
      <c r="H41" s="188"/>
      <c r="I41" s="188"/>
      <c r="J41" s="188"/>
      <c r="K41" s="188"/>
      <c r="L41" s="188"/>
      <c r="M41" s="188"/>
      <c r="N41" s="188"/>
    </row>
    <row r="42" spans="2:14">
      <c r="B42" s="180" t="s">
        <v>167</v>
      </c>
      <c r="C42" s="177" t="s">
        <v>256</v>
      </c>
      <c r="D42" s="172">
        <f t="shared" ref="D42:D51" si="2">SUM(E42:M42)</f>
        <v>277.62</v>
      </c>
      <c r="E42" s="172">
        <f>'RUA 1'!I39</f>
        <v>23.32</v>
      </c>
      <c r="F42" s="172">
        <f>'RUA 2'!I39</f>
        <v>22.26</v>
      </c>
      <c r="G42" s="172">
        <f>'RUA 3'!I39</f>
        <v>44.09</v>
      </c>
      <c r="H42" s="172">
        <v>0</v>
      </c>
      <c r="I42" s="172">
        <f>'RUA 5'!I39</f>
        <v>98.91</v>
      </c>
      <c r="J42" s="172">
        <f>'RUA 6'!I39</f>
        <v>44.52</v>
      </c>
      <c r="K42" s="172">
        <v>0</v>
      </c>
      <c r="L42" s="172">
        <f>'RUA 8'!I39</f>
        <v>44.52</v>
      </c>
      <c r="M42" s="172">
        <v>0</v>
      </c>
      <c r="N42" s="172">
        <v>0</v>
      </c>
    </row>
    <row r="43" spans="2:14" ht="71.25">
      <c r="B43" s="180" t="s">
        <v>310</v>
      </c>
      <c r="C43" s="177" t="s">
        <v>311</v>
      </c>
      <c r="D43" s="172">
        <f t="shared" si="2"/>
        <v>2905.14</v>
      </c>
      <c r="E43" s="172">
        <f>'RUA 1'!I40</f>
        <v>249.1</v>
      </c>
      <c r="F43" s="172">
        <f>'RUA 2'!I40</f>
        <v>239.16</v>
      </c>
      <c r="G43" s="172">
        <f>'RUA 3'!I40</f>
        <v>474.23</v>
      </c>
      <c r="H43" s="172">
        <v>0</v>
      </c>
      <c r="I43" s="172">
        <f>'RUA 5'!I40</f>
        <v>986.21</v>
      </c>
      <c r="J43" s="172">
        <f>'RUA 6'!I40</f>
        <v>478.22</v>
      </c>
      <c r="K43" s="172">
        <v>0</v>
      </c>
      <c r="L43" s="172">
        <f>'RUA 8'!I40</f>
        <v>478.22</v>
      </c>
      <c r="M43" s="172">
        <v>0</v>
      </c>
      <c r="N43" s="172">
        <v>0</v>
      </c>
    </row>
    <row r="44" spans="2:14" ht="42.75">
      <c r="B44" s="180" t="s">
        <v>312</v>
      </c>
      <c r="C44" s="177" t="s">
        <v>314</v>
      </c>
      <c r="D44" s="172">
        <f t="shared" si="2"/>
        <v>7556.64</v>
      </c>
      <c r="E44" s="172">
        <f>'RUA 1'!I41</f>
        <v>842.4</v>
      </c>
      <c r="F44" s="172">
        <f>'RUA 2'!I41</f>
        <v>808.7</v>
      </c>
      <c r="G44" s="172">
        <f>'RUA 3'!I41</f>
        <v>1626.4</v>
      </c>
      <c r="H44" s="172">
        <v>0</v>
      </c>
      <c r="I44" s="172">
        <f>'RUA 5'!I41</f>
        <v>1707.01</v>
      </c>
      <c r="J44" s="172">
        <f>'RUA 6'!I41</f>
        <v>932.26</v>
      </c>
      <c r="K44" s="172">
        <v>0</v>
      </c>
      <c r="L44" s="172">
        <f>'RUA 8'!I41</f>
        <v>1639.87</v>
      </c>
      <c r="M44" s="172">
        <v>0</v>
      </c>
      <c r="N44" s="172">
        <v>0</v>
      </c>
    </row>
    <row r="45" spans="2:14">
      <c r="B45" s="180" t="s">
        <v>313</v>
      </c>
      <c r="C45" s="177" t="s">
        <v>95</v>
      </c>
      <c r="D45" s="172">
        <f t="shared" si="2"/>
        <v>5693.61</v>
      </c>
      <c r="E45" s="172">
        <f>'RUA 1'!I42</f>
        <v>478.17</v>
      </c>
      <c r="F45" s="172">
        <f>'RUA 2'!I42</f>
        <v>456.92</v>
      </c>
      <c r="G45" s="172">
        <f>'RUA 3'!I42</f>
        <v>904.18</v>
      </c>
      <c r="H45" s="172">
        <v>0</v>
      </c>
      <c r="I45" s="172">
        <f>'RUA 5'!I42</f>
        <v>2028.6</v>
      </c>
      <c r="J45" s="172">
        <f>'RUA 6'!I42</f>
        <v>912.87</v>
      </c>
      <c r="K45" s="172">
        <v>0</v>
      </c>
      <c r="L45" s="172">
        <f>'RUA 8'!I42</f>
        <v>912.87</v>
      </c>
      <c r="M45" s="172">
        <v>0</v>
      </c>
      <c r="N45" s="172">
        <v>0</v>
      </c>
    </row>
    <row r="46" spans="2:14" ht="42.75">
      <c r="B46" s="180" t="s">
        <v>316</v>
      </c>
      <c r="C46" s="177" t="s">
        <v>353</v>
      </c>
      <c r="D46" s="172">
        <f t="shared" si="2"/>
        <v>40925</v>
      </c>
      <c r="E46" s="172">
        <f>'RUA 1'!I43</f>
        <v>3437.5</v>
      </c>
      <c r="F46" s="172">
        <f>'RUA 2'!I43</f>
        <v>3281.25</v>
      </c>
      <c r="G46" s="172">
        <f>'RUA 3'!I43</f>
        <v>6500</v>
      </c>
      <c r="H46" s="172">
        <v>0</v>
      </c>
      <c r="I46" s="172">
        <f>'RUA 5'!I43</f>
        <v>14581.25</v>
      </c>
      <c r="J46" s="172">
        <f>'RUA 6'!I43</f>
        <v>6562.5</v>
      </c>
      <c r="K46" s="172">
        <v>0</v>
      </c>
      <c r="L46" s="172">
        <f>'RUA 8'!I43</f>
        <v>6562.5</v>
      </c>
      <c r="M46" s="172">
        <v>0</v>
      </c>
      <c r="N46" s="172">
        <v>0</v>
      </c>
    </row>
    <row r="47" spans="2:14" ht="71.25">
      <c r="B47" s="180" t="s">
        <v>317</v>
      </c>
      <c r="C47" s="177" t="s">
        <v>319</v>
      </c>
      <c r="D47" s="172">
        <f t="shared" si="2"/>
        <v>6580.31</v>
      </c>
      <c r="E47" s="172">
        <f>'RUA 1'!I44</f>
        <v>540.41</v>
      </c>
      <c r="F47" s="172">
        <f>'RUA 2'!I44</f>
        <v>523.98</v>
      </c>
      <c r="G47" s="172">
        <f>'RUA 3'!I44</f>
        <v>1038.17</v>
      </c>
      <c r="H47" s="172">
        <v>0</v>
      </c>
      <c r="I47" s="172">
        <f>'RUA 5'!I44</f>
        <v>2381.81</v>
      </c>
      <c r="J47" s="172">
        <f>'RUA 6'!I44</f>
        <v>1047.97</v>
      </c>
      <c r="K47" s="172">
        <v>0</v>
      </c>
      <c r="L47" s="172">
        <f>'RUA 8'!I44</f>
        <v>1047.97</v>
      </c>
      <c r="M47" s="172">
        <v>0</v>
      </c>
      <c r="N47" s="172">
        <v>0</v>
      </c>
    </row>
    <row r="48" spans="2:14" ht="42.75">
      <c r="B48" s="180" t="s">
        <v>318</v>
      </c>
      <c r="C48" s="177" t="s">
        <v>510</v>
      </c>
      <c r="D48" s="172">
        <f t="shared" si="2"/>
        <v>1951.89</v>
      </c>
      <c r="E48" s="172">
        <v>0</v>
      </c>
      <c r="F48" s="172">
        <v>0</v>
      </c>
      <c r="G48" s="172">
        <v>0</v>
      </c>
      <c r="H48" s="172">
        <v>0</v>
      </c>
      <c r="I48" s="172">
        <f>'RUA 5'!I45</f>
        <v>1951.89</v>
      </c>
      <c r="J48" s="172">
        <v>0</v>
      </c>
      <c r="K48" s="172">
        <v>0</v>
      </c>
      <c r="L48" s="172">
        <v>0</v>
      </c>
      <c r="M48" s="172">
        <v>0</v>
      </c>
      <c r="N48" s="172">
        <v>0</v>
      </c>
    </row>
    <row r="49" spans="1:14" ht="48.75" customHeight="1">
      <c r="B49" s="180" t="s">
        <v>320</v>
      </c>
      <c r="C49" s="177" t="s">
        <v>322</v>
      </c>
      <c r="D49" s="172">
        <f t="shared" si="2"/>
        <v>12770.46</v>
      </c>
      <c r="E49" s="172">
        <f>'RUA 1'!I45</f>
        <v>1418.94</v>
      </c>
      <c r="F49" s="172">
        <f>'RUA 2'!I45</f>
        <v>1418.94</v>
      </c>
      <c r="G49" s="172">
        <f>'RUA 3'!I45</f>
        <v>2837.88</v>
      </c>
      <c r="H49" s="172">
        <v>0</v>
      </c>
      <c r="I49" s="172">
        <f>'RUA 5'!I46</f>
        <v>1418.94</v>
      </c>
      <c r="J49" s="172">
        <f>'RUA 6'!I45</f>
        <v>2837.88</v>
      </c>
      <c r="K49" s="172">
        <v>0</v>
      </c>
      <c r="L49" s="172">
        <f>'RUA 8'!I45</f>
        <v>2837.88</v>
      </c>
      <c r="M49" s="172">
        <v>0</v>
      </c>
      <c r="N49" s="172">
        <v>0</v>
      </c>
    </row>
    <row r="50" spans="1:14" ht="28.5">
      <c r="B50" s="180" t="s">
        <v>321</v>
      </c>
      <c r="C50" s="177" t="s">
        <v>324</v>
      </c>
      <c r="D50" s="172">
        <f t="shared" ref="D50" si="3">SUM(E50:M50)</f>
        <v>6749.1</v>
      </c>
      <c r="E50" s="172">
        <f>'RUA 1'!I46</f>
        <v>749.9</v>
      </c>
      <c r="F50" s="172">
        <f>'RUA 2'!I46</f>
        <v>749.9</v>
      </c>
      <c r="G50" s="172">
        <f>'RUA 3'!I46</f>
        <v>1499.8</v>
      </c>
      <c r="H50" s="172">
        <v>0</v>
      </c>
      <c r="I50" s="172">
        <f>'RUA 5'!I47</f>
        <v>749.9</v>
      </c>
      <c r="J50" s="172">
        <f>'RUA 6'!I46</f>
        <v>1499.8</v>
      </c>
      <c r="K50" s="172">
        <v>0</v>
      </c>
      <c r="L50" s="172">
        <f>'RUA 8'!I46</f>
        <v>1499.8</v>
      </c>
      <c r="M50" s="172">
        <v>0</v>
      </c>
      <c r="N50" s="172">
        <v>0</v>
      </c>
    </row>
    <row r="51" spans="1:14" ht="42.75">
      <c r="B51" s="180" t="s">
        <v>323</v>
      </c>
      <c r="C51" s="177" t="s">
        <v>327</v>
      </c>
      <c r="D51" s="172">
        <f t="shared" si="2"/>
        <v>9105.2999999999993</v>
      </c>
      <c r="E51" s="172">
        <f>'RUA 1'!I47</f>
        <v>1011.7</v>
      </c>
      <c r="F51" s="172">
        <f>'RUA 2'!I47</f>
        <v>1011.7</v>
      </c>
      <c r="G51" s="172">
        <f>'RUA 3'!I47</f>
        <v>2023.4</v>
      </c>
      <c r="H51" s="172">
        <v>0</v>
      </c>
      <c r="I51" s="172">
        <f>'RUA 5'!I48</f>
        <v>1011.7</v>
      </c>
      <c r="J51" s="172">
        <f>'RUA 6'!I47</f>
        <v>2023.4</v>
      </c>
      <c r="K51" s="172">
        <v>0</v>
      </c>
      <c r="L51" s="172">
        <f>'RUA 8'!I47</f>
        <v>2023.4</v>
      </c>
      <c r="M51" s="172">
        <v>0</v>
      </c>
      <c r="N51" s="172">
        <v>0</v>
      </c>
    </row>
    <row r="52" spans="1:14" ht="15">
      <c r="B52" s="174"/>
      <c r="C52" s="168"/>
      <c r="D52" s="168"/>
      <c r="E52" s="175"/>
      <c r="F52" s="188"/>
      <c r="G52" s="188"/>
      <c r="H52" s="175"/>
      <c r="I52" s="188"/>
      <c r="J52" s="188"/>
      <c r="K52" s="175"/>
      <c r="L52" s="188"/>
      <c r="M52" s="188"/>
      <c r="N52" s="188"/>
    </row>
    <row r="53" spans="1:14" s="197" customFormat="1"/>
    <row r="54" spans="1:14" ht="15">
      <c r="B54" s="193" t="s">
        <v>356</v>
      </c>
      <c r="C54" s="190" t="s">
        <v>166</v>
      </c>
      <c r="D54" s="191"/>
      <c r="E54" s="188"/>
      <c r="F54" s="188"/>
      <c r="G54" s="166"/>
      <c r="H54" s="188"/>
      <c r="I54" s="188"/>
      <c r="J54" s="166"/>
      <c r="K54" s="188"/>
      <c r="L54" s="188"/>
      <c r="M54" s="166"/>
      <c r="N54" s="166"/>
    </row>
    <row r="55" spans="1:14">
      <c r="B55" s="176" t="s">
        <v>357</v>
      </c>
      <c r="C55" s="177" t="s">
        <v>168</v>
      </c>
      <c r="D55" s="172">
        <f>SUM(E55:N55)</f>
        <v>3977.86</v>
      </c>
      <c r="E55" s="172">
        <f>'RUA 1'!I51</f>
        <v>244.06</v>
      </c>
      <c r="F55" s="173">
        <f>'RUA 2'!I50</f>
        <v>497.95</v>
      </c>
      <c r="G55" s="172">
        <f>'RUA 3'!I51</f>
        <v>668.9</v>
      </c>
      <c r="H55" s="172">
        <f>'RUA 4'!I39</f>
        <v>201.99</v>
      </c>
      <c r="I55" s="173">
        <f>'RUA 5'!I51</f>
        <v>258.51</v>
      </c>
      <c r="J55" s="172">
        <f>'RUA 6'!I51</f>
        <v>450.14</v>
      </c>
      <c r="K55" s="172">
        <f>'RUA 7'!I39</f>
        <v>139.41</v>
      </c>
      <c r="L55" s="173">
        <f>'RUA 8'!I51</f>
        <v>746.37</v>
      </c>
      <c r="M55" s="172">
        <f>'RUA 9'!I39</f>
        <v>128.01</v>
      </c>
      <c r="N55" s="172">
        <f>'RUA 10'!I39</f>
        <v>642.52</v>
      </c>
    </row>
    <row r="56" spans="1:14">
      <c r="B56" s="178"/>
      <c r="C56" s="179"/>
      <c r="D56" s="172"/>
      <c r="E56" s="172"/>
      <c r="F56" s="173"/>
      <c r="G56" s="172"/>
      <c r="H56" s="172"/>
      <c r="I56" s="173"/>
      <c r="J56" s="172"/>
      <c r="K56" s="172"/>
      <c r="L56" s="173"/>
      <c r="M56" s="172"/>
      <c r="N56" s="172"/>
    </row>
    <row r="57" spans="1:14" ht="30" customHeight="1">
      <c r="B57" s="582" t="s">
        <v>249</v>
      </c>
      <c r="C57" s="583"/>
      <c r="D57" s="166">
        <f>SUM(E57:N57)</f>
        <v>934395.64</v>
      </c>
      <c r="E57" s="166">
        <f>SUM(E23:E55)-0.01</f>
        <v>65356.15</v>
      </c>
      <c r="F57" s="166">
        <f>SUM(F23:F55)-0.01</f>
        <v>109078.56</v>
      </c>
      <c r="G57" s="166">
        <f t="shared" ref="G57:I57" si="4">SUM(G23:G55)</f>
        <v>156665.81</v>
      </c>
      <c r="H57" s="166">
        <f>SUM(H23:H55)-0.01</f>
        <v>41842.199999999997</v>
      </c>
      <c r="I57" s="166">
        <f t="shared" si="4"/>
        <v>80635.22</v>
      </c>
      <c r="J57" s="166">
        <f>SUM(J23:J55)-0.01</f>
        <v>107362.87</v>
      </c>
      <c r="K57" s="166">
        <f>SUM(K23:K55)-0.01</f>
        <v>33208.46</v>
      </c>
      <c r="L57" s="166">
        <f>SUM(L23:L55)-0.01</f>
        <v>173299.84</v>
      </c>
      <c r="M57" s="166">
        <f>SUM(M23:M55)-0.01</f>
        <v>30515.72</v>
      </c>
      <c r="N57" s="166">
        <f>SUM(N23:N55)-0.01</f>
        <v>136430.81</v>
      </c>
    </row>
    <row r="58" spans="1:14">
      <c r="C58" s="391">
        <f>D58*0.04</f>
        <v>36600</v>
      </c>
      <c r="D58" s="163">
        <v>915000</v>
      </c>
      <c r="E58" s="170"/>
      <c r="F58" s="170"/>
      <c r="G58" s="170"/>
      <c r="H58" s="170"/>
      <c r="I58" s="170"/>
      <c r="J58" s="170"/>
      <c r="K58" s="170"/>
      <c r="L58" s="170"/>
      <c r="M58" s="170"/>
      <c r="N58" s="170"/>
    </row>
    <row r="59" spans="1:14" s="182" customFormat="1">
      <c r="A59" s="153"/>
      <c r="C59" s="153"/>
      <c r="D59" s="163">
        <f>D57-D58</f>
        <v>19395.64</v>
      </c>
      <c r="E59" s="163"/>
      <c r="H59" s="163"/>
      <c r="K59" s="163"/>
    </row>
    <row r="60" spans="1:14" s="182" customFormat="1">
      <c r="A60" s="153"/>
      <c r="C60" s="153"/>
      <c r="D60" s="163">
        <f>D59-C58</f>
        <v>-17204.36</v>
      </c>
      <c r="E60" s="163"/>
      <c r="H60" s="163"/>
      <c r="K60" s="163"/>
    </row>
    <row r="61" spans="1:14" s="182" customFormat="1">
      <c r="A61" s="153"/>
      <c r="C61" s="153"/>
      <c r="D61" s="163"/>
      <c r="E61" s="163"/>
      <c r="H61" s="163"/>
      <c r="K61" s="163"/>
    </row>
    <row r="62" spans="1:14" s="182" customFormat="1">
      <c r="A62" s="153"/>
      <c r="C62" s="153"/>
      <c r="D62" s="163"/>
      <c r="E62" s="163"/>
      <c r="H62" s="163"/>
      <c r="K62" s="163"/>
    </row>
    <row r="63" spans="1:14" s="182" customFormat="1">
      <c r="A63" s="153"/>
      <c r="C63" s="153"/>
      <c r="D63" s="163"/>
      <c r="E63" s="163"/>
      <c r="H63" s="163"/>
      <c r="K63" s="163"/>
    </row>
    <row r="64" spans="1:14" s="182" customFormat="1">
      <c r="A64" s="153"/>
      <c r="C64" s="394"/>
      <c r="D64" s="163"/>
      <c r="E64" s="163"/>
      <c r="F64" s="384"/>
      <c r="H64" s="163"/>
      <c r="I64" s="384"/>
      <c r="K64" s="163"/>
      <c r="L64" s="384"/>
    </row>
    <row r="65" spans="1:11" s="182" customFormat="1">
      <c r="A65" s="153"/>
      <c r="C65" s="153"/>
      <c r="D65" s="163"/>
      <c r="E65" s="163"/>
      <c r="H65" s="163"/>
      <c r="K65" s="163"/>
    </row>
    <row r="66" spans="1:11" s="182" customFormat="1">
      <c r="A66" s="153"/>
      <c r="C66" s="153"/>
      <c r="D66" s="163"/>
      <c r="E66" s="163"/>
      <c r="H66" s="163"/>
      <c r="K66" s="163"/>
    </row>
    <row r="67" spans="1:11" s="182" customFormat="1">
      <c r="A67" s="153"/>
      <c r="C67" s="153"/>
      <c r="D67" s="163"/>
      <c r="E67" s="163"/>
      <c r="H67" s="163"/>
      <c r="K67" s="163"/>
    </row>
    <row r="68" spans="1:11" s="182" customFormat="1">
      <c r="A68" s="153"/>
      <c r="C68" s="153"/>
      <c r="D68" s="163"/>
      <c r="E68" s="163"/>
      <c r="H68" s="163"/>
      <c r="K68" s="163"/>
    </row>
    <row r="69" spans="1:11" s="182" customFormat="1">
      <c r="A69" s="153"/>
      <c r="C69" s="153"/>
      <c r="D69" s="163"/>
      <c r="E69" s="163"/>
      <c r="H69" s="163"/>
      <c r="K69" s="163"/>
    </row>
  </sheetData>
  <mergeCells count="9">
    <mergeCell ref="C22:D22"/>
    <mergeCell ref="B9:N9"/>
    <mergeCell ref="B7:N7"/>
    <mergeCell ref="B57:C57"/>
    <mergeCell ref="B19:B20"/>
    <mergeCell ref="C19:C20"/>
    <mergeCell ref="D19:D20"/>
    <mergeCell ref="C14:D14"/>
    <mergeCell ref="E19:G19"/>
  </mergeCells>
  <printOptions horizontalCentered="1"/>
  <pageMargins left="0.25" right="0.25" top="0.75" bottom="0.75" header="0.3" footer="0.3"/>
  <pageSetup paperSize="9" scale="52" orientation="landscape" horizontalDpi="4294967293" verticalDpi="4294967293" r:id="rId1"/>
  <rowBreaks count="1" manualBreakCount="1">
    <brk id="40" min="1" max="1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Planilha12"/>
  <dimension ref="A2:AA50"/>
  <sheetViews>
    <sheetView view="pageBreakPreview" topLeftCell="N22" zoomScale="85" zoomScaleNormal="70" zoomScaleSheetLayoutView="85" workbookViewId="0">
      <selection activeCell="AA44" sqref="AA44"/>
    </sheetView>
  </sheetViews>
  <sheetFormatPr defaultColWidth="9.140625" defaultRowHeight="15"/>
  <cols>
    <col min="1" max="1" width="9.140625" style="84"/>
    <col min="2" max="5" width="9.140625" style="143"/>
    <col min="6" max="6" width="3.7109375" style="143" customWidth="1"/>
    <col min="7" max="7" width="12.7109375" style="84" bestFit="1" customWidth="1"/>
    <col min="8" max="8" width="20.85546875" style="84" customWidth="1"/>
    <col min="9" max="10" width="18.42578125" style="84" customWidth="1"/>
    <col min="11" max="11" width="11.28515625" style="84" bestFit="1" customWidth="1"/>
    <col min="12" max="12" width="23" style="84" bestFit="1" customWidth="1"/>
    <col min="13" max="13" width="19.140625" style="84" customWidth="1"/>
    <col min="14" max="14" width="10.85546875" style="84" customWidth="1"/>
    <col min="15" max="15" width="18.7109375" style="84" bestFit="1" customWidth="1"/>
    <col min="16" max="16" width="18" style="84" customWidth="1"/>
    <col min="17" max="17" width="12.85546875" style="84" customWidth="1"/>
    <col min="18" max="19" width="18.42578125" style="84" customWidth="1"/>
    <col min="20" max="20" width="11.28515625" style="84" bestFit="1" customWidth="1"/>
    <col min="21" max="21" width="23" style="84" bestFit="1" customWidth="1"/>
    <col min="22" max="22" width="19.140625" style="84" customWidth="1"/>
    <col min="23" max="23" width="10.85546875" style="84" customWidth="1"/>
    <col min="24" max="24" width="18.7109375" style="84" bestFit="1" customWidth="1"/>
    <col min="25" max="25" width="18" style="84" customWidth="1"/>
    <col min="26" max="26" width="12.85546875" style="84" customWidth="1"/>
    <col min="27" max="16384" width="9.140625" style="84"/>
  </cols>
  <sheetData>
    <row r="2" spans="1:27" ht="68.25" customHeight="1"/>
    <row r="4" spans="1:27" ht="15" customHeight="1"/>
    <row r="5" spans="1:27" ht="18.75">
      <c r="B5" s="400"/>
      <c r="C5" s="400"/>
      <c r="D5" s="400"/>
      <c r="E5" s="400"/>
      <c r="F5" s="400"/>
      <c r="G5" s="400"/>
      <c r="H5" s="400"/>
      <c r="I5" s="400" t="s">
        <v>374</v>
      </c>
      <c r="K5" s="400"/>
      <c r="L5" s="400"/>
      <c r="M5" s="400"/>
      <c r="N5" s="400"/>
      <c r="O5" s="400"/>
      <c r="P5" s="400"/>
      <c r="Q5" s="400"/>
      <c r="R5" s="400" t="s">
        <v>374</v>
      </c>
      <c r="S5" s="400"/>
      <c r="T5" s="400"/>
      <c r="U5" s="400"/>
      <c r="V5" s="400"/>
      <c r="W5" s="400"/>
      <c r="X5" s="400"/>
      <c r="Y5" s="400"/>
      <c r="Z5" s="400"/>
      <c r="AA5" s="400"/>
    </row>
    <row r="6" spans="1:27" ht="15.75" thickBot="1"/>
    <row r="7" spans="1:27" s="97" customFormat="1" ht="20.25">
      <c r="A7" s="401" t="s">
        <v>257</v>
      </c>
      <c r="B7" s="402"/>
      <c r="C7" s="402"/>
      <c r="D7" s="402"/>
      <c r="E7" s="402"/>
      <c r="F7" s="402"/>
      <c r="G7" s="402"/>
      <c r="H7" s="402"/>
      <c r="I7" s="402"/>
      <c r="J7" s="402"/>
      <c r="K7" s="119"/>
      <c r="L7" s="120"/>
      <c r="M7" s="120"/>
      <c r="N7" s="121"/>
      <c r="O7" s="121"/>
      <c r="P7" s="122"/>
      <c r="Q7" s="123"/>
      <c r="R7" s="121"/>
      <c r="S7" s="121"/>
      <c r="T7" s="119"/>
      <c r="U7" s="120"/>
      <c r="V7" s="120"/>
      <c r="W7" s="121"/>
      <c r="X7" s="121"/>
      <c r="Y7" s="122"/>
      <c r="Z7" s="123"/>
    </row>
    <row r="8" spans="1:27" s="97" customFormat="1">
      <c r="A8" s="124"/>
      <c r="B8" s="144"/>
      <c r="C8" s="144"/>
      <c r="D8" s="144"/>
      <c r="E8" s="144"/>
      <c r="F8" s="144"/>
      <c r="G8" s="98"/>
      <c r="H8" s="98"/>
      <c r="I8" s="98"/>
      <c r="J8" s="98"/>
      <c r="K8" s="98"/>
      <c r="L8" s="98"/>
      <c r="M8" s="98"/>
      <c r="N8" s="98"/>
      <c r="O8" s="98"/>
      <c r="P8" s="98"/>
      <c r="Q8" s="125"/>
      <c r="R8" s="98"/>
      <c r="S8" s="98"/>
      <c r="T8" s="98"/>
      <c r="U8" s="98"/>
      <c r="V8" s="98"/>
      <c r="W8" s="98"/>
      <c r="X8" s="98"/>
      <c r="Y8" s="98"/>
      <c r="Z8" s="125"/>
    </row>
    <row r="9" spans="1:27" s="97" customFormat="1" ht="15.75">
      <c r="A9" s="126" t="s">
        <v>258</v>
      </c>
      <c r="B9" s="145"/>
      <c r="C9" s="145"/>
      <c r="D9" s="145"/>
      <c r="E9" s="145"/>
      <c r="F9" s="145"/>
      <c r="G9" s="100"/>
      <c r="H9" s="101"/>
      <c r="I9" s="99" t="s">
        <v>259</v>
      </c>
      <c r="J9" s="100"/>
      <c r="K9" s="100"/>
      <c r="L9" s="100"/>
      <c r="M9" s="101"/>
      <c r="N9" s="102" t="s">
        <v>260</v>
      </c>
      <c r="O9" s="103"/>
      <c r="P9" s="100"/>
      <c r="Q9" s="127"/>
      <c r="R9" s="99" t="s">
        <v>259</v>
      </c>
      <c r="S9" s="100"/>
      <c r="T9" s="100"/>
      <c r="U9" s="100"/>
      <c r="V9" s="101"/>
      <c r="W9" s="102" t="s">
        <v>260</v>
      </c>
      <c r="X9" s="103"/>
      <c r="Y9" s="100"/>
      <c r="Z9" s="127"/>
    </row>
    <row r="10" spans="1:27" s="97" customFormat="1" ht="18">
      <c r="A10" s="646" t="s">
        <v>374</v>
      </c>
      <c r="B10" s="608"/>
      <c r="C10" s="608"/>
      <c r="D10" s="608"/>
      <c r="E10" s="608"/>
      <c r="F10" s="608"/>
      <c r="G10" s="608"/>
      <c r="H10" s="609"/>
      <c r="I10" s="607" t="s">
        <v>261</v>
      </c>
      <c r="J10" s="608"/>
      <c r="K10" s="608"/>
      <c r="L10" s="608"/>
      <c r="M10" s="609"/>
      <c r="N10" s="607" t="s">
        <v>262</v>
      </c>
      <c r="O10" s="608"/>
      <c r="P10" s="608"/>
      <c r="Q10" s="610"/>
      <c r="R10" s="607" t="s">
        <v>261</v>
      </c>
      <c r="S10" s="608"/>
      <c r="T10" s="608"/>
      <c r="U10" s="608"/>
      <c r="V10" s="609"/>
      <c r="W10" s="607" t="s">
        <v>262</v>
      </c>
      <c r="X10" s="608"/>
      <c r="Y10" s="608"/>
      <c r="Z10" s="610"/>
    </row>
    <row r="11" spans="1:27">
      <c r="A11" s="128"/>
      <c r="B11" s="146"/>
      <c r="C11" s="146"/>
      <c r="D11" s="146"/>
      <c r="E11" s="146"/>
      <c r="F11" s="146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29"/>
      <c r="R11" s="85"/>
      <c r="S11" s="85"/>
      <c r="T11" s="85"/>
      <c r="U11" s="85"/>
      <c r="V11" s="85"/>
      <c r="W11" s="85"/>
      <c r="X11" s="85"/>
      <c r="Y11" s="85"/>
      <c r="Z11" s="129"/>
    </row>
    <row r="12" spans="1:27" s="97" customFormat="1" ht="15.75">
      <c r="A12" s="126" t="s">
        <v>263</v>
      </c>
      <c r="B12" s="145"/>
      <c r="C12" s="145"/>
      <c r="D12" s="145"/>
      <c r="E12" s="145"/>
      <c r="F12" s="145"/>
      <c r="G12" s="100"/>
      <c r="H12" s="101"/>
      <c r="I12" s="99" t="s">
        <v>264</v>
      </c>
      <c r="J12" s="100"/>
      <c r="K12" s="100"/>
      <c r="L12" s="100"/>
      <c r="M12" s="101"/>
      <c r="N12" s="104" t="s">
        <v>265</v>
      </c>
      <c r="O12" s="100"/>
      <c r="P12" s="100"/>
      <c r="Q12" s="127"/>
      <c r="R12" s="99" t="s">
        <v>264</v>
      </c>
      <c r="S12" s="100"/>
      <c r="T12" s="100"/>
      <c r="U12" s="100"/>
      <c r="V12" s="101"/>
      <c r="W12" s="104" t="s">
        <v>265</v>
      </c>
      <c r="X12" s="100"/>
      <c r="Y12" s="100"/>
      <c r="Z12" s="127"/>
    </row>
    <row r="13" spans="1:27" s="97" customFormat="1" ht="18">
      <c r="A13" s="647" t="s">
        <v>266</v>
      </c>
      <c r="B13" s="648"/>
      <c r="C13" s="648"/>
      <c r="D13" s="648"/>
      <c r="E13" s="648"/>
      <c r="F13" s="648"/>
      <c r="G13" s="648"/>
      <c r="H13" s="649"/>
      <c r="I13" s="607" t="s">
        <v>375</v>
      </c>
      <c r="J13" s="608"/>
      <c r="K13" s="608"/>
      <c r="L13" s="608"/>
      <c r="M13" s="609"/>
      <c r="N13" s="611">
        <f>'QCI '!AL27</f>
        <v>911877.39</v>
      </c>
      <c r="O13" s="611"/>
      <c r="P13" s="611"/>
      <c r="Q13" s="612"/>
      <c r="R13" s="607" t="s">
        <v>375</v>
      </c>
      <c r="S13" s="608"/>
      <c r="T13" s="608"/>
      <c r="U13" s="608"/>
      <c r="V13" s="609"/>
      <c r="W13" s="611">
        <f>'QCI '!AL27</f>
        <v>911877.39</v>
      </c>
      <c r="X13" s="611"/>
      <c r="Y13" s="611"/>
      <c r="Z13" s="612"/>
    </row>
    <row r="14" spans="1:27">
      <c r="A14" s="128"/>
      <c r="B14" s="146"/>
      <c r="C14" s="146"/>
      <c r="D14" s="146"/>
      <c r="E14" s="146"/>
      <c r="F14" s="146"/>
      <c r="G14" s="85"/>
      <c r="H14" s="85"/>
      <c r="I14" s="85"/>
      <c r="J14" s="85"/>
      <c r="K14" s="85"/>
      <c r="L14" s="85"/>
      <c r="M14" s="85"/>
      <c r="N14" s="86"/>
      <c r="O14" s="86"/>
      <c r="P14" s="86"/>
      <c r="Q14" s="130"/>
      <c r="R14" s="85"/>
      <c r="S14" s="85"/>
      <c r="T14" s="85"/>
      <c r="U14" s="85"/>
      <c r="V14" s="85"/>
      <c r="W14" s="86"/>
      <c r="X14" s="86"/>
      <c r="Y14" s="86"/>
      <c r="Z14" s="130"/>
    </row>
    <row r="15" spans="1:27" s="97" customFormat="1" ht="15.75" customHeight="1">
      <c r="A15" s="126" t="s">
        <v>267</v>
      </c>
      <c r="B15" s="145"/>
      <c r="C15" s="145"/>
      <c r="D15" s="145"/>
      <c r="E15" s="145"/>
      <c r="F15" s="145"/>
      <c r="G15" s="100"/>
      <c r="H15" s="101"/>
      <c r="I15" s="99" t="s">
        <v>268</v>
      </c>
      <c r="J15" s="100"/>
      <c r="K15" s="100"/>
      <c r="L15" s="100"/>
      <c r="M15" s="101"/>
      <c r="N15" s="613" t="s">
        <v>269</v>
      </c>
      <c r="O15" s="614"/>
      <c r="P15" s="614" t="str">
        <f>'RUA 1'!C11</f>
        <v>1054116-72</v>
      </c>
      <c r="Q15" s="617"/>
      <c r="R15" s="99" t="s">
        <v>268</v>
      </c>
      <c r="S15" s="100"/>
      <c r="T15" s="100"/>
      <c r="U15" s="100"/>
      <c r="V15" s="101"/>
      <c r="W15" s="613" t="s">
        <v>269</v>
      </c>
      <c r="X15" s="614"/>
      <c r="Y15" s="614" t="str">
        <f>'RUA 1'!C11</f>
        <v>1054116-72</v>
      </c>
      <c r="Z15" s="617"/>
    </row>
    <row r="16" spans="1:27" s="97" customFormat="1" ht="18">
      <c r="A16" s="650" t="s">
        <v>446</v>
      </c>
      <c r="B16" s="620"/>
      <c r="C16" s="620"/>
      <c r="D16" s="620"/>
      <c r="E16" s="620"/>
      <c r="F16" s="620"/>
      <c r="G16" s="620"/>
      <c r="H16" s="621"/>
      <c r="I16" s="619" t="s">
        <v>270</v>
      </c>
      <c r="J16" s="620"/>
      <c r="K16" s="620"/>
      <c r="L16" s="620"/>
      <c r="M16" s="621"/>
      <c r="N16" s="615"/>
      <c r="O16" s="616"/>
      <c r="P16" s="616"/>
      <c r="Q16" s="618"/>
      <c r="R16" s="619" t="s">
        <v>270</v>
      </c>
      <c r="S16" s="620"/>
      <c r="T16" s="620"/>
      <c r="U16" s="620"/>
      <c r="V16" s="621"/>
      <c r="W16" s="615"/>
      <c r="X16" s="616"/>
      <c r="Y16" s="616"/>
      <c r="Z16" s="618"/>
    </row>
    <row r="17" spans="1:26">
      <c r="A17" s="131"/>
      <c r="B17" s="147"/>
      <c r="C17" s="147"/>
      <c r="D17" s="147"/>
      <c r="E17" s="147"/>
      <c r="F17" s="147"/>
      <c r="G17" s="87"/>
      <c r="H17" s="88"/>
      <c r="I17" s="89"/>
      <c r="J17" s="90"/>
      <c r="K17" s="87"/>
      <c r="L17" s="89"/>
      <c r="M17" s="90"/>
      <c r="N17" s="87"/>
      <c r="O17" s="89"/>
      <c r="P17" s="90"/>
      <c r="Q17" s="132"/>
      <c r="R17" s="89"/>
      <c r="S17" s="90"/>
      <c r="T17" s="87"/>
      <c r="U17" s="89"/>
      <c r="V17" s="90"/>
      <c r="W17" s="87"/>
      <c r="X17" s="89"/>
      <c r="Y17" s="90"/>
      <c r="Z17" s="132"/>
    </row>
    <row r="18" spans="1:26" s="97" customFormat="1" ht="15.75">
      <c r="A18" s="631" t="s">
        <v>271</v>
      </c>
      <c r="B18" s="634" t="s">
        <v>272</v>
      </c>
      <c r="C18" s="635"/>
      <c r="D18" s="635"/>
      <c r="E18" s="635"/>
      <c r="F18" s="635"/>
      <c r="G18" s="640" t="s">
        <v>273</v>
      </c>
      <c r="H18" s="643" t="s">
        <v>274</v>
      </c>
      <c r="I18" s="105" t="s">
        <v>275</v>
      </c>
      <c r="J18" s="106"/>
      <c r="K18" s="597" t="s">
        <v>69</v>
      </c>
      <c r="L18" s="105" t="s">
        <v>276</v>
      </c>
      <c r="M18" s="106"/>
      <c r="N18" s="597" t="s">
        <v>69</v>
      </c>
      <c r="O18" s="105" t="s">
        <v>277</v>
      </c>
      <c r="P18" s="106"/>
      <c r="Q18" s="600" t="s">
        <v>69</v>
      </c>
      <c r="R18" s="105" t="s">
        <v>450</v>
      </c>
      <c r="S18" s="106"/>
      <c r="T18" s="597" t="s">
        <v>69</v>
      </c>
      <c r="U18" s="105" t="s">
        <v>451</v>
      </c>
      <c r="V18" s="106"/>
      <c r="W18" s="597" t="s">
        <v>69</v>
      </c>
      <c r="X18" s="105" t="s">
        <v>452</v>
      </c>
      <c r="Y18" s="106"/>
      <c r="Z18" s="600" t="s">
        <v>69</v>
      </c>
    </row>
    <row r="19" spans="1:26" s="97" customFormat="1">
      <c r="A19" s="632"/>
      <c r="B19" s="636"/>
      <c r="C19" s="637"/>
      <c r="D19" s="637"/>
      <c r="E19" s="637"/>
      <c r="F19" s="637"/>
      <c r="G19" s="641"/>
      <c r="H19" s="644"/>
      <c r="I19" s="595" t="s">
        <v>278</v>
      </c>
      <c r="J19" s="603" t="s">
        <v>279</v>
      </c>
      <c r="K19" s="598"/>
      <c r="L19" s="605" t="s">
        <v>278</v>
      </c>
      <c r="M19" s="595" t="s">
        <v>279</v>
      </c>
      <c r="N19" s="598"/>
      <c r="O19" s="595" t="s">
        <v>278</v>
      </c>
      <c r="P19" s="595" t="s">
        <v>279</v>
      </c>
      <c r="Q19" s="601"/>
      <c r="R19" s="595" t="s">
        <v>278</v>
      </c>
      <c r="S19" s="603" t="s">
        <v>279</v>
      </c>
      <c r="T19" s="598"/>
      <c r="U19" s="605" t="s">
        <v>278</v>
      </c>
      <c r="V19" s="595" t="s">
        <v>279</v>
      </c>
      <c r="W19" s="598"/>
      <c r="X19" s="595" t="s">
        <v>278</v>
      </c>
      <c r="Y19" s="595" t="s">
        <v>279</v>
      </c>
      <c r="Z19" s="601"/>
    </row>
    <row r="20" spans="1:26" s="97" customFormat="1">
      <c r="A20" s="633"/>
      <c r="B20" s="638"/>
      <c r="C20" s="639"/>
      <c r="D20" s="639"/>
      <c r="E20" s="639"/>
      <c r="F20" s="639"/>
      <c r="G20" s="642"/>
      <c r="H20" s="645"/>
      <c r="I20" s="596"/>
      <c r="J20" s="604"/>
      <c r="K20" s="599"/>
      <c r="L20" s="606"/>
      <c r="M20" s="596"/>
      <c r="N20" s="599"/>
      <c r="O20" s="596"/>
      <c r="P20" s="596"/>
      <c r="Q20" s="602"/>
      <c r="R20" s="596"/>
      <c r="S20" s="604"/>
      <c r="T20" s="599"/>
      <c r="U20" s="606"/>
      <c r="V20" s="596"/>
      <c r="W20" s="599"/>
      <c r="X20" s="596"/>
      <c r="Y20" s="596"/>
      <c r="Z20" s="602"/>
    </row>
    <row r="21" spans="1:26">
      <c r="A21" s="133"/>
      <c r="B21" s="148"/>
      <c r="C21" s="149"/>
      <c r="D21" s="149"/>
      <c r="E21" s="149"/>
      <c r="F21" s="150"/>
      <c r="G21" s="91"/>
      <c r="H21" s="92"/>
      <c r="I21" s="92"/>
      <c r="J21" s="93"/>
      <c r="K21" s="91"/>
      <c r="L21" s="92"/>
      <c r="M21" s="93"/>
      <c r="N21" s="91"/>
      <c r="O21" s="92"/>
      <c r="P21" s="93"/>
      <c r="Q21" s="134"/>
      <c r="R21" s="92"/>
      <c r="S21" s="93"/>
      <c r="T21" s="91"/>
      <c r="U21" s="92"/>
      <c r="V21" s="93"/>
      <c r="W21" s="91"/>
      <c r="X21" s="92"/>
      <c r="Y21" s="93"/>
      <c r="Z21" s="134"/>
    </row>
    <row r="22" spans="1:26" ht="6" customHeight="1">
      <c r="A22" s="135"/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5"/>
      <c r="R22" s="593"/>
      <c r="S22" s="594"/>
      <c r="T22" s="594"/>
      <c r="U22" s="594"/>
      <c r="V22" s="594"/>
      <c r="W22" s="594"/>
      <c r="X22" s="594"/>
      <c r="Y22" s="594"/>
      <c r="Z22" s="594"/>
    </row>
    <row r="23" spans="1:26" s="397" customFormat="1">
      <c r="A23" s="395">
        <v>1</v>
      </c>
      <c r="B23" s="622" t="str">
        <f>RESUMO!E20</f>
        <v>Rua do Tambor</v>
      </c>
      <c r="C23" s="623"/>
      <c r="D23" s="623"/>
      <c r="E23" s="623"/>
      <c r="F23" s="624"/>
      <c r="G23" s="186">
        <f>ROUND(H23/$H$44*100,2)</f>
        <v>6.99</v>
      </c>
      <c r="H23" s="187">
        <f>ROUND(RESUMO!E57,2)</f>
        <v>65356.15</v>
      </c>
      <c r="I23" s="187">
        <f>H23</f>
        <v>65356.15</v>
      </c>
      <c r="J23" s="189"/>
      <c r="K23" s="186">
        <f>ROUND(IF(I23+J23=0,"",(I23+J23)/$H23*100),2)</f>
        <v>100</v>
      </c>
      <c r="L23" s="187"/>
      <c r="M23" s="189"/>
      <c r="N23" s="186"/>
      <c r="O23" s="187"/>
      <c r="P23" s="189"/>
      <c r="Q23" s="396"/>
      <c r="R23" s="187">
        <f>Q23</f>
        <v>0</v>
      </c>
      <c r="S23" s="189"/>
      <c r="T23" s="186"/>
      <c r="U23" s="187"/>
      <c r="V23" s="189"/>
      <c r="W23" s="186"/>
      <c r="X23" s="187"/>
      <c r="Y23" s="189"/>
      <c r="Z23" s="396"/>
    </row>
    <row r="24" spans="1:26" s="397" customFormat="1" ht="6.75" customHeight="1">
      <c r="A24" s="395"/>
      <c r="B24" s="406"/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8"/>
      <c r="R24" s="591"/>
      <c r="S24" s="592"/>
      <c r="T24" s="592"/>
      <c r="U24" s="592"/>
      <c r="V24" s="592"/>
      <c r="W24" s="592"/>
      <c r="X24" s="592"/>
      <c r="Y24" s="592"/>
      <c r="Z24" s="592"/>
    </row>
    <row r="25" spans="1:26" s="397" customFormat="1" ht="15" customHeight="1">
      <c r="A25" s="395">
        <v>2</v>
      </c>
      <c r="B25" s="465" t="str">
        <f>RESUMO!F20</f>
        <v>Rua Vitorino Miguel de Oliveira</v>
      </c>
      <c r="C25" s="409"/>
      <c r="D25" s="409"/>
      <c r="E25" s="409"/>
      <c r="F25" s="410"/>
      <c r="G25" s="186">
        <f>ROUND(H25/$H$44*100,2)</f>
        <v>11.67</v>
      </c>
      <c r="H25" s="187">
        <f>RESUMO!F57</f>
        <v>109078.56</v>
      </c>
      <c r="I25" s="187"/>
      <c r="J25" s="189"/>
      <c r="K25" s="186" t="str">
        <f>IF(I25+J25=0,"",(I25+J25)/$H25*100)</f>
        <v/>
      </c>
      <c r="L25" s="187">
        <f>H25</f>
        <v>109078.56</v>
      </c>
      <c r="M25" s="189"/>
      <c r="N25" s="186">
        <f>ROUND(IF(L25+M25=0,"",(L25+M25)/$H25*100),2)</f>
        <v>100</v>
      </c>
      <c r="O25" s="187"/>
      <c r="P25" s="189"/>
      <c r="Q25" s="396" t="str">
        <f>IF(O25+P25=0,"",(O25+P25)/$H25*100)</f>
        <v/>
      </c>
      <c r="R25" s="187"/>
      <c r="S25" s="189"/>
      <c r="T25" s="186" t="str">
        <f>IF(R25+S25=0,"",(R25+S25)/$H25*100)</f>
        <v/>
      </c>
      <c r="U25" s="187" t="str">
        <f>Q25</f>
        <v/>
      </c>
      <c r="V25" s="189"/>
      <c r="W25" s="186"/>
      <c r="X25" s="187"/>
      <c r="Y25" s="189"/>
      <c r="Z25" s="396" t="str">
        <f>IF(X25+Y25=0,"",(X25+Y25)/$H25*100)</f>
        <v/>
      </c>
    </row>
    <row r="26" spans="1:26" s="397" customFormat="1" ht="6" customHeight="1">
      <c r="A26" s="395"/>
      <c r="B26" s="406"/>
      <c r="C26" s="407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8"/>
      <c r="R26" s="591"/>
      <c r="S26" s="592"/>
      <c r="T26" s="592"/>
      <c r="U26" s="592"/>
      <c r="V26" s="592"/>
      <c r="W26" s="592"/>
      <c r="X26" s="592"/>
      <c r="Y26" s="592"/>
      <c r="Z26" s="592"/>
    </row>
    <row r="27" spans="1:26" s="397" customFormat="1">
      <c r="A27" s="395">
        <v>3</v>
      </c>
      <c r="B27" s="622" t="str">
        <f>RESUMO!G20</f>
        <v>Rua Julia Ferreira da Silva</v>
      </c>
      <c r="C27" s="623"/>
      <c r="D27" s="623"/>
      <c r="E27" s="623"/>
      <c r="F27" s="624"/>
      <c r="G27" s="186">
        <f>ROUND(H27/$H$44*100,2)</f>
        <v>16.77</v>
      </c>
      <c r="H27" s="187">
        <f>RESUMO!G57</f>
        <v>156665.81</v>
      </c>
      <c r="I27" s="187"/>
      <c r="J27" s="189"/>
      <c r="K27" s="186" t="str">
        <f>IF(I27+J27=0,"",(I27+J27)/$H27*100)</f>
        <v/>
      </c>
      <c r="L27" s="187"/>
      <c r="M27" s="189"/>
      <c r="N27" s="186" t="str">
        <f>IF(L27+M27=0,"",(L27+M27)/$H27*100)</f>
        <v/>
      </c>
      <c r="O27" s="187">
        <f>H27-P27</f>
        <v>134147.56</v>
      </c>
      <c r="P27" s="189">
        <f>'QCI '!S26</f>
        <v>22518.25</v>
      </c>
      <c r="Q27" s="396">
        <f>IF(O27+P27=0,"",(O27+P27)/$H27*100)</f>
        <v>100</v>
      </c>
      <c r="R27" s="187"/>
      <c r="S27" s="189"/>
      <c r="T27" s="186" t="str">
        <f>IF(R27+S27=0,"",(R27+S27)/$H27*100)</f>
        <v/>
      </c>
      <c r="U27" s="187"/>
      <c r="V27" s="189">
        <f>'QCI '!AB26</f>
        <v>0</v>
      </c>
      <c r="W27" s="186" t="str">
        <f>IF(U27+V27=0,"",(U27+V27)/$H27*100)</f>
        <v/>
      </c>
      <c r="X27" s="187"/>
      <c r="Y27" s="189"/>
      <c r="Z27" s="396" t="str">
        <f>IF(X27+Y27=0,"",(X27+Y27)/$H27*100)</f>
        <v/>
      </c>
    </row>
    <row r="28" spans="1:26" s="397" customFormat="1" ht="6" customHeight="1">
      <c r="A28" s="398"/>
      <c r="B28" s="406"/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8"/>
      <c r="R28" s="591"/>
      <c r="S28" s="592"/>
      <c r="T28" s="592"/>
      <c r="U28" s="592"/>
      <c r="V28" s="592"/>
      <c r="W28" s="592"/>
      <c r="X28" s="592"/>
      <c r="Y28" s="592"/>
      <c r="Z28" s="592"/>
    </row>
    <row r="29" spans="1:26" s="397" customFormat="1">
      <c r="A29" s="395">
        <v>4</v>
      </c>
      <c r="B29" s="622" t="str">
        <f>RESUMO!H20</f>
        <v>Rua Sebastião Viana Fernandes</v>
      </c>
      <c r="C29" s="623"/>
      <c r="D29" s="623"/>
      <c r="E29" s="623"/>
      <c r="F29" s="624"/>
      <c r="G29" s="186">
        <f>ROUND(H29/$H$44*100,2)</f>
        <v>4.4800000000000004</v>
      </c>
      <c r="H29" s="187">
        <f>RESUMO!H57</f>
        <v>41842.199999999997</v>
      </c>
      <c r="I29" s="187">
        <f>H29</f>
        <v>41842.199999999997</v>
      </c>
      <c r="J29" s="189"/>
      <c r="K29" s="186">
        <f>ROUND(IF(I29+J29=0,"",(I29+J29)/$H29*100),2)</f>
        <v>100</v>
      </c>
      <c r="L29" s="187"/>
      <c r="M29" s="189"/>
      <c r="N29" s="186"/>
      <c r="O29" s="187"/>
      <c r="P29" s="189"/>
      <c r="Q29" s="396"/>
      <c r="R29" s="187"/>
      <c r="S29" s="189"/>
      <c r="T29" s="186"/>
      <c r="U29" s="187"/>
      <c r="V29" s="189"/>
      <c r="W29" s="186"/>
      <c r="X29" s="187"/>
      <c r="Y29" s="189"/>
      <c r="Z29" s="396"/>
    </row>
    <row r="30" spans="1:26" s="397" customFormat="1" ht="6.75" customHeight="1">
      <c r="A30" s="395"/>
      <c r="B30" s="406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8"/>
      <c r="R30" s="591"/>
      <c r="S30" s="592"/>
      <c r="T30" s="592"/>
      <c r="U30" s="592"/>
      <c r="V30" s="592"/>
      <c r="W30" s="592"/>
      <c r="X30" s="592"/>
      <c r="Y30" s="592"/>
      <c r="Z30" s="592"/>
    </row>
    <row r="31" spans="1:26" s="397" customFormat="1">
      <c r="A31" s="395">
        <v>5</v>
      </c>
      <c r="B31" s="622" t="str">
        <f>RESUMO!I20</f>
        <v>Rua José Evangelista da Silva</v>
      </c>
      <c r="C31" s="623"/>
      <c r="D31" s="623"/>
      <c r="E31" s="623"/>
      <c r="F31" s="624"/>
      <c r="G31" s="186">
        <f>ROUND(H31/$H$44*100,2)</f>
        <v>8.6300000000000008</v>
      </c>
      <c r="H31" s="187">
        <f>RESUMO!I57</f>
        <v>80635.22</v>
      </c>
      <c r="I31" s="187"/>
      <c r="J31" s="189"/>
      <c r="K31" s="186" t="str">
        <f>IF(I31+J31=0,"",(I31+J31)/$H31*100)</f>
        <v/>
      </c>
      <c r="L31" s="187"/>
      <c r="M31" s="189"/>
      <c r="N31" s="186"/>
      <c r="O31" s="187">
        <f>H31</f>
        <v>80635.22</v>
      </c>
      <c r="P31" s="189"/>
      <c r="Q31" s="396">
        <f>IF(O31+P31=0,"",(O31+P31)/$H31*100)</f>
        <v>100</v>
      </c>
      <c r="R31" s="187"/>
      <c r="S31" s="189"/>
      <c r="T31" s="186" t="str">
        <f>IF(R31+S31=0,"",(R31+S31)/$H31*100)</f>
        <v/>
      </c>
      <c r="U31" s="187"/>
      <c r="V31" s="189"/>
      <c r="W31" s="186"/>
      <c r="X31" s="187"/>
      <c r="Y31" s="189"/>
      <c r="Z31" s="396" t="str">
        <f>IF(X31+Y31=0,"",(X31+Y31)/$H31*100)</f>
        <v/>
      </c>
    </row>
    <row r="32" spans="1:26" s="397" customFormat="1" ht="6" customHeight="1">
      <c r="A32" s="395"/>
      <c r="B32" s="406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8"/>
      <c r="R32" s="591"/>
      <c r="S32" s="592"/>
      <c r="T32" s="592"/>
      <c r="U32" s="592"/>
      <c r="V32" s="592"/>
      <c r="W32" s="592"/>
      <c r="X32" s="592"/>
      <c r="Y32" s="592"/>
      <c r="Z32" s="592"/>
    </row>
    <row r="33" spans="1:26" s="397" customFormat="1">
      <c r="A33" s="395">
        <v>6</v>
      </c>
      <c r="B33" s="622" t="str">
        <f>RESUMO!J20</f>
        <v>Rua Alzira Joana da Conceição</v>
      </c>
      <c r="C33" s="623"/>
      <c r="D33" s="623"/>
      <c r="E33" s="623"/>
      <c r="F33" s="624"/>
      <c r="G33" s="186">
        <f>ROUND(H33/$H$44*100,2)</f>
        <v>11.49</v>
      </c>
      <c r="H33" s="187">
        <f>RESUMO!J57</f>
        <v>107362.87</v>
      </c>
      <c r="I33" s="187"/>
      <c r="J33" s="189"/>
      <c r="K33" s="186" t="str">
        <f>IF(I33+J33=0,"",(I33+J33)/$H33*100)</f>
        <v/>
      </c>
      <c r="L33" s="187"/>
      <c r="M33" s="189">
        <f>'QCI '!S32</f>
        <v>0</v>
      </c>
      <c r="N33" s="186" t="str">
        <f>IF(L33+M33=0,"",(L33+M33)/$H33*100)</f>
        <v/>
      </c>
      <c r="O33" s="187"/>
      <c r="P33" s="189"/>
      <c r="Q33" s="396" t="str">
        <f>IF(O33+P33=0,"",(O33+P33)/$H33*100)</f>
        <v/>
      </c>
      <c r="R33" s="187">
        <f>H33</f>
        <v>107362.87</v>
      </c>
      <c r="S33" s="189"/>
      <c r="T33" s="186">
        <f>IF(R33+S33=0,"",(R33+S33)/$H33*100)</f>
        <v>100</v>
      </c>
      <c r="U33" s="187"/>
      <c r="V33" s="189">
        <f>'QCI '!AB32</f>
        <v>0</v>
      </c>
      <c r="W33" s="186" t="str">
        <f>IF(U33+V33=0,"",(U33+V33)/$H33*100)</f>
        <v/>
      </c>
      <c r="X33" s="187"/>
      <c r="Y33" s="189"/>
      <c r="Z33" s="396" t="str">
        <f>IF(X33+Y33=0,"",(X33+Y33)/$H33*100)</f>
        <v/>
      </c>
    </row>
    <row r="34" spans="1:26" s="397" customFormat="1" ht="6" customHeight="1">
      <c r="A34" s="398"/>
      <c r="B34" s="406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8"/>
      <c r="R34" s="591"/>
      <c r="S34" s="592"/>
      <c r="T34" s="592"/>
      <c r="U34" s="592"/>
      <c r="V34" s="592"/>
      <c r="W34" s="592"/>
      <c r="X34" s="592"/>
      <c r="Y34" s="592"/>
      <c r="Z34" s="592"/>
    </row>
    <row r="35" spans="1:26" s="397" customFormat="1">
      <c r="A35" s="395">
        <v>7</v>
      </c>
      <c r="B35" s="622" t="str">
        <f>RESUMO!K20</f>
        <v>Rua Marcos Moises de oliveira</v>
      </c>
      <c r="C35" s="623"/>
      <c r="D35" s="623"/>
      <c r="E35" s="623"/>
      <c r="F35" s="624"/>
      <c r="G35" s="186">
        <f>ROUND(H35/$H$44*100,2)</f>
        <v>3.55</v>
      </c>
      <c r="H35" s="187">
        <f>RESUMO!K57</f>
        <v>33208.46</v>
      </c>
      <c r="I35" s="187"/>
      <c r="J35" s="189"/>
      <c r="K35" s="186"/>
      <c r="L35" s="187"/>
      <c r="M35" s="189"/>
      <c r="N35" s="186"/>
      <c r="O35" s="187"/>
      <c r="P35" s="189"/>
      <c r="Q35" s="396"/>
      <c r="R35" s="187">
        <f>H35</f>
        <v>33208.46</v>
      </c>
      <c r="S35" s="189"/>
      <c r="T35" s="186">
        <f>IF(R35+S35=0,"",(R35+S35)/$H35*100)</f>
        <v>100</v>
      </c>
      <c r="U35" s="187"/>
      <c r="V35" s="189"/>
      <c r="W35" s="186"/>
      <c r="X35" s="187"/>
      <c r="Y35" s="189"/>
      <c r="Z35" s="396"/>
    </row>
    <row r="36" spans="1:26" s="397" customFormat="1" ht="6.75" customHeight="1">
      <c r="A36" s="395"/>
      <c r="B36" s="406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8"/>
      <c r="R36" s="591"/>
      <c r="S36" s="592"/>
      <c r="T36" s="592"/>
      <c r="U36" s="592"/>
      <c r="V36" s="592"/>
      <c r="W36" s="592"/>
      <c r="X36" s="592"/>
      <c r="Y36" s="592"/>
      <c r="Z36" s="592"/>
    </row>
    <row r="37" spans="1:26" s="397" customFormat="1">
      <c r="A37" s="395">
        <v>8</v>
      </c>
      <c r="B37" s="622" t="str">
        <f>RESUMO!L20</f>
        <v>Rua Antônio de Matos Barbosa</v>
      </c>
      <c r="C37" s="623"/>
      <c r="D37" s="623"/>
      <c r="E37" s="623"/>
      <c r="F37" s="624"/>
      <c r="G37" s="186">
        <f>ROUND(H37/$H$44*100,2)</f>
        <v>18.55</v>
      </c>
      <c r="H37" s="187">
        <f>RESUMO!L57</f>
        <v>173299.84</v>
      </c>
      <c r="I37" s="187"/>
      <c r="J37" s="189"/>
      <c r="K37" s="186" t="str">
        <f>IF(I37+J37=0,"",(I37+J37)/$H37*100)</f>
        <v/>
      </c>
      <c r="L37" s="187"/>
      <c r="M37" s="189"/>
      <c r="N37" s="186"/>
      <c r="O37" s="187"/>
      <c r="P37" s="189"/>
      <c r="Q37" s="396" t="str">
        <f>IF(O37+P37=0,"",(O37+P37)/$H37*100)</f>
        <v/>
      </c>
      <c r="R37" s="187"/>
      <c r="S37" s="189"/>
      <c r="T37" s="186" t="str">
        <f>IF(R37+S37=0,"",(R37+S37)/$H37*100)</f>
        <v/>
      </c>
      <c r="U37" s="187">
        <f>H37</f>
        <v>173299.84</v>
      </c>
      <c r="V37" s="189"/>
      <c r="W37" s="186">
        <f>IF(U37+V37=0,"",(U37+V37)/$H37*100)</f>
        <v>100</v>
      </c>
      <c r="X37" s="187"/>
      <c r="Y37" s="189"/>
      <c r="Z37" s="396" t="str">
        <f>IF(X37+Y37=0,"",(X37+Y37)/$H37*100)</f>
        <v/>
      </c>
    </row>
    <row r="38" spans="1:26" s="397" customFormat="1" ht="6" customHeight="1">
      <c r="A38" s="395"/>
      <c r="B38" s="406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8"/>
      <c r="R38" s="591"/>
      <c r="S38" s="592"/>
      <c r="T38" s="592"/>
      <c r="U38" s="592"/>
      <c r="V38" s="592"/>
      <c r="W38" s="592"/>
      <c r="X38" s="592"/>
      <c r="Y38" s="592"/>
      <c r="Z38" s="592"/>
    </row>
    <row r="39" spans="1:26" s="397" customFormat="1">
      <c r="A39" s="395">
        <v>9</v>
      </c>
      <c r="B39" s="622" t="str">
        <f>RESUMO!M20</f>
        <v>Rua Josete Maria da Silva Elias</v>
      </c>
      <c r="C39" s="623"/>
      <c r="D39" s="623"/>
      <c r="E39" s="623"/>
      <c r="F39" s="624"/>
      <c r="G39" s="186">
        <f>ROUND(H39/$H$44*100,2)</f>
        <v>3.27</v>
      </c>
      <c r="H39" s="187">
        <f>RESUMO!M57</f>
        <v>30515.72</v>
      </c>
      <c r="I39" s="187"/>
      <c r="J39" s="189"/>
      <c r="K39" s="186" t="str">
        <f>IF(I39+J39=0,"",(I39+J39)/$H39*100)</f>
        <v/>
      </c>
      <c r="L39" s="187"/>
      <c r="M39" s="189">
        <f>'QCI '!S38</f>
        <v>0</v>
      </c>
      <c r="N39" s="186" t="str">
        <f>IF(L39+M39=0,"",(L39+M39)/$H39*100)</f>
        <v/>
      </c>
      <c r="O39" s="187"/>
      <c r="P39" s="189"/>
      <c r="Q39" s="396" t="str">
        <f>IF(O39+P39=0,"",(O39+P39)/$H39*100)</f>
        <v/>
      </c>
      <c r="R39" s="187">
        <f>H39</f>
        <v>30515.72</v>
      </c>
      <c r="S39" s="189"/>
      <c r="T39" s="186">
        <f>IF(R39+S39=0,"",(R39+S39)/$H39*100)</f>
        <v>100</v>
      </c>
      <c r="U39" s="187"/>
      <c r="V39" s="189">
        <f>'QCI '!AB38</f>
        <v>0</v>
      </c>
      <c r="W39" s="186" t="str">
        <f>IF(U39+V39=0,"",(U39+V39)/$H39*100)</f>
        <v/>
      </c>
      <c r="X39" s="187"/>
      <c r="Y39" s="189"/>
      <c r="Z39" s="396" t="str">
        <f>IF(X39+Y39=0,"",(X39+Y39)/$H39*100)</f>
        <v/>
      </c>
    </row>
    <row r="40" spans="1:26" s="397" customFormat="1" ht="6" customHeight="1">
      <c r="A40" s="398"/>
      <c r="B40" s="406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8"/>
      <c r="R40" s="591"/>
      <c r="S40" s="592"/>
      <c r="T40" s="592"/>
      <c r="U40" s="592"/>
      <c r="V40" s="592"/>
      <c r="W40" s="592"/>
      <c r="X40" s="592"/>
      <c r="Y40" s="592"/>
      <c r="Z40" s="592"/>
    </row>
    <row r="41" spans="1:26" s="397" customFormat="1">
      <c r="A41" s="395">
        <v>10</v>
      </c>
      <c r="B41" s="622" t="str">
        <f>RESUMO!N20</f>
        <v>Rua Maria Francisca da Conceição</v>
      </c>
      <c r="C41" s="623"/>
      <c r="D41" s="623"/>
      <c r="E41" s="623"/>
      <c r="F41" s="624"/>
      <c r="G41" s="186">
        <f>ROUND(H41/$H$44*100,2)</f>
        <v>14.6</v>
      </c>
      <c r="H41" s="187">
        <f>RESUMO!N57</f>
        <v>136430.81</v>
      </c>
      <c r="I41" s="187"/>
      <c r="J41" s="189"/>
      <c r="K41" s="186" t="str">
        <f>IF(I41+J41=0,"",(I41+J41)/$H41*100)</f>
        <v/>
      </c>
      <c r="L41" s="187"/>
      <c r="M41" s="189">
        <f>'QCI '!S40</f>
        <v>0</v>
      </c>
      <c r="N41" s="186" t="str">
        <f>IF(L41+M41=0,"",(L41+M41)/$H41*100)</f>
        <v/>
      </c>
      <c r="O41" s="187"/>
      <c r="P41" s="189"/>
      <c r="Q41" s="396" t="str">
        <f>IF(O41+P41=0,"",(O41+P41)/$H41*100)</f>
        <v/>
      </c>
      <c r="R41" s="187"/>
      <c r="S41" s="189"/>
      <c r="T41" s="186" t="str">
        <f>IF(R41+S41=0,"",(R41+S41)/$H41*100)</f>
        <v/>
      </c>
      <c r="U41" s="187"/>
      <c r="V41" s="189">
        <f>'QCI '!AB40</f>
        <v>0</v>
      </c>
      <c r="W41" s="186" t="str">
        <f>IF(U41+V41=0,"",(U41+V41)/$H41*100)</f>
        <v/>
      </c>
      <c r="X41" s="187">
        <f>H41</f>
        <v>136430.81</v>
      </c>
      <c r="Y41" s="189"/>
      <c r="Z41" s="396">
        <f>IF(X41+Y41=0,"",(X41+Y41)/$H41*100)</f>
        <v>100</v>
      </c>
    </row>
    <row r="42" spans="1:26" ht="6" customHeight="1">
      <c r="A42" s="137"/>
      <c r="B42" s="403"/>
      <c r="C42" s="404"/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5"/>
      <c r="R42" s="593"/>
      <c r="S42" s="594"/>
      <c r="T42" s="594"/>
      <c r="U42" s="594"/>
      <c r="V42" s="594"/>
      <c r="W42" s="594"/>
      <c r="X42" s="594"/>
      <c r="Y42" s="594"/>
      <c r="Z42" s="594"/>
    </row>
    <row r="43" spans="1:26" ht="16.5" customHeight="1">
      <c r="A43" s="137"/>
      <c r="B43" s="151"/>
      <c r="C43" s="151"/>
      <c r="D43" s="151"/>
      <c r="E43" s="151"/>
      <c r="F43" s="152"/>
      <c r="G43" s="94"/>
      <c r="H43" s="95"/>
      <c r="I43" s="95"/>
      <c r="J43" s="96"/>
      <c r="K43" s="94"/>
      <c r="L43" s="95"/>
      <c r="M43" s="96"/>
      <c r="N43" s="94"/>
      <c r="O43" s="96"/>
      <c r="P43" s="96"/>
      <c r="Q43" s="136"/>
      <c r="R43" s="95"/>
      <c r="S43" s="96"/>
      <c r="T43" s="94"/>
      <c r="U43" s="95"/>
      <c r="V43" s="96"/>
      <c r="W43" s="94"/>
      <c r="X43" s="96"/>
      <c r="Y43" s="96"/>
      <c r="Z43" s="136"/>
    </row>
    <row r="44" spans="1:26" ht="15.75">
      <c r="A44" s="628" t="s">
        <v>280</v>
      </c>
      <c r="B44" s="629"/>
      <c r="C44" s="629"/>
      <c r="D44" s="629"/>
      <c r="E44" s="629"/>
      <c r="F44" s="630"/>
      <c r="G44" s="107">
        <f>SUM(G23:G41)</f>
        <v>100</v>
      </c>
      <c r="H44" s="108">
        <f>ROUND(H23+H25+H27+H29+H31+H33+H35+H37+H39+H41,2)</f>
        <v>934395.64</v>
      </c>
      <c r="I44" s="109">
        <f>ROUND(SUM(I22:I42),2)</f>
        <v>107198.35</v>
      </c>
      <c r="J44" s="109">
        <f>ROUND(SUM(J22:J42),2)</f>
        <v>0</v>
      </c>
      <c r="K44" s="110">
        <f>ROUND(IF(SUM(K21:K43)=0,"",(I44+J44)/$H44*100),2)</f>
        <v>11.47</v>
      </c>
      <c r="L44" s="109">
        <f>ROUND(SUM(L22:L42),2)</f>
        <v>109078.56</v>
      </c>
      <c r="M44" s="109">
        <f>ROUND(SUM(M22:M42),2)</f>
        <v>0</v>
      </c>
      <c r="N44" s="110">
        <f>ROUND(IF(SUM(N21:N43)=0,"",(L44+M44)/$H44*100),2)</f>
        <v>11.67</v>
      </c>
      <c r="O44" s="109">
        <f>ROUND(SUM(O22:O42),2)</f>
        <v>214782.78</v>
      </c>
      <c r="P44" s="109">
        <f>ROUND(SUM(P22:P42),2)</f>
        <v>22518.25</v>
      </c>
      <c r="Q44" s="110">
        <f>ROUND(IF(SUM(Q21:Q43)=0,"",(O44+P44)/$H44*100),2)</f>
        <v>25.4</v>
      </c>
      <c r="R44" s="109">
        <f>ROUND(SUM(R22:R42),2)</f>
        <v>171087.05</v>
      </c>
      <c r="S44" s="109">
        <f>ROUND(SUM(S22:S42),2)</f>
        <v>0</v>
      </c>
      <c r="T44" s="110">
        <f>ROUND(IF(SUM(T21:T43)=0,"",(R44+S44)/$H44*100),2)</f>
        <v>18.309999999999999</v>
      </c>
      <c r="U44" s="109">
        <f>ROUND(SUM(U22:U42),2)</f>
        <v>173299.84</v>
      </c>
      <c r="V44" s="109">
        <f>ROUND(SUM(V22:V42),2)</f>
        <v>0</v>
      </c>
      <c r="W44" s="110">
        <f>ROUND(IF(SUM(W21:W43)=0,"",(U44+V44)/$H44*100),2)</f>
        <v>18.55</v>
      </c>
      <c r="X44" s="109">
        <f>ROUND(SUM(X22:X42),2)</f>
        <v>136430.81</v>
      </c>
      <c r="Y44" s="109">
        <f>ROUND(SUM(Y22:Y42),2)</f>
        <v>0</v>
      </c>
      <c r="Z44" s="110">
        <f>ROUND(IF(SUM(Z21:Z43)=0,"",(X44+Y44)/$H44*100),2)</f>
        <v>14.6</v>
      </c>
    </row>
    <row r="45" spans="1:26" ht="16.5" thickBot="1">
      <c r="A45" s="625" t="s">
        <v>281</v>
      </c>
      <c r="B45" s="626"/>
      <c r="C45" s="626"/>
      <c r="D45" s="626"/>
      <c r="E45" s="626"/>
      <c r="F45" s="627"/>
      <c r="G45" s="138">
        <v>100</v>
      </c>
      <c r="H45" s="139"/>
      <c r="I45" s="139"/>
      <c r="J45" s="139"/>
      <c r="K45" s="139"/>
      <c r="L45" s="140">
        <f>ROUND(SUM(I44,L44),2)</f>
        <v>216276.91</v>
      </c>
      <c r="M45" s="140">
        <f>M44+J44</f>
        <v>0</v>
      </c>
      <c r="N45" s="140">
        <f>IF(SUM(N22:N27)=0,"",N44+K44)</f>
        <v>23.14</v>
      </c>
      <c r="O45" s="140">
        <f>SUM(L45,O44)</f>
        <v>431059.69</v>
      </c>
      <c r="P45" s="140">
        <f>P44+M45</f>
        <v>22518.25</v>
      </c>
      <c r="Q45" s="141">
        <f>ROUND(IF(SUM(Q22:Q27)=0,"",Q44+N45),2)</f>
        <v>48.54</v>
      </c>
      <c r="R45" s="140">
        <f>SUM(O45,R44)</f>
        <v>602146.74</v>
      </c>
      <c r="S45" s="140">
        <f>S44+P45</f>
        <v>22518.25</v>
      </c>
      <c r="T45" s="141">
        <f>ROUND(IF(SUM(T22:T43)=0,"",T44+Q45),2)</f>
        <v>66.849999999999994</v>
      </c>
      <c r="U45" s="140">
        <f>ROUND(SUM(R45,U44),2)</f>
        <v>775446.58</v>
      </c>
      <c r="V45" s="140">
        <f>V44+S45</f>
        <v>22518.25</v>
      </c>
      <c r="W45" s="140">
        <f>IF(SUM(W22:W43)=0,"",W44+T45)</f>
        <v>85.4</v>
      </c>
      <c r="X45" s="140">
        <f>SUM(U45,X44)</f>
        <v>911877.39</v>
      </c>
      <c r="Y45" s="140">
        <f>Y44+V45</f>
        <v>22518.25</v>
      </c>
      <c r="Z45" s="141">
        <f>ROUND(IF(SUM(Z22:Z43)=0,"",Z44+W45),2)</f>
        <v>100</v>
      </c>
    </row>
    <row r="46" spans="1:26" ht="20.25">
      <c r="A46" s="411"/>
      <c r="B46" s="411"/>
      <c r="C46" s="411"/>
      <c r="D46" s="411"/>
      <c r="E46" s="411"/>
      <c r="F46" s="411"/>
      <c r="G46" s="411"/>
      <c r="H46" s="411"/>
      <c r="I46" s="411"/>
      <c r="J46" s="411"/>
      <c r="K46" s="115"/>
      <c r="L46" s="116"/>
      <c r="M46" s="116"/>
      <c r="N46" s="117"/>
      <c r="O46" s="117"/>
      <c r="P46" s="118"/>
      <c r="Q46" s="117"/>
      <c r="T46" s="115"/>
      <c r="U46" s="116"/>
      <c r="V46" s="116"/>
      <c r="W46" s="117"/>
      <c r="X46" s="117"/>
      <c r="Y46" s="118"/>
      <c r="Z46" s="117"/>
    </row>
    <row r="47" spans="1:26">
      <c r="Y47" s="399"/>
    </row>
    <row r="50" spans="15:24">
      <c r="O50" s="114"/>
      <c r="X50" s="114"/>
    </row>
  </sheetData>
  <mergeCells count="61">
    <mergeCell ref="A10:H10"/>
    <mergeCell ref="I10:M10"/>
    <mergeCell ref="N10:Q10"/>
    <mergeCell ref="N15:O16"/>
    <mergeCell ref="P15:Q16"/>
    <mergeCell ref="A13:H13"/>
    <mergeCell ref="I13:M13"/>
    <mergeCell ref="N13:Q13"/>
    <mergeCell ref="A16:H16"/>
    <mergeCell ref="I16:M16"/>
    <mergeCell ref="K18:K20"/>
    <mergeCell ref="N18:N20"/>
    <mergeCell ref="Q18:Q20"/>
    <mergeCell ref="I19:I20"/>
    <mergeCell ref="J19:J20"/>
    <mergeCell ref="L19:L20"/>
    <mergeCell ref="M19:M20"/>
    <mergeCell ref="O19:O20"/>
    <mergeCell ref="P19:P20"/>
    <mergeCell ref="B23:F23"/>
    <mergeCell ref="A18:A20"/>
    <mergeCell ref="B18:F20"/>
    <mergeCell ref="G18:G20"/>
    <mergeCell ref="H18:H20"/>
    <mergeCell ref="B37:F37"/>
    <mergeCell ref="B39:F39"/>
    <mergeCell ref="B41:F41"/>
    <mergeCell ref="A45:F45"/>
    <mergeCell ref="B27:F27"/>
    <mergeCell ref="A44:F44"/>
    <mergeCell ref="B29:F29"/>
    <mergeCell ref="B31:F31"/>
    <mergeCell ref="B33:F33"/>
    <mergeCell ref="B35:F35"/>
    <mergeCell ref="R10:V10"/>
    <mergeCell ref="W10:Z10"/>
    <mergeCell ref="R13:V13"/>
    <mergeCell ref="W13:Z13"/>
    <mergeCell ref="W15:X16"/>
    <mergeCell ref="Y15:Z16"/>
    <mergeCell ref="R16:V16"/>
    <mergeCell ref="Y19:Y20"/>
    <mergeCell ref="R22:Z22"/>
    <mergeCell ref="R24:Z24"/>
    <mergeCell ref="R26:Z26"/>
    <mergeCell ref="R28:Z28"/>
    <mergeCell ref="T18:T20"/>
    <mergeCell ref="W18:W20"/>
    <mergeCell ref="Z18:Z20"/>
    <mergeCell ref="R19:R20"/>
    <mergeCell ref="S19:S20"/>
    <mergeCell ref="U19:U20"/>
    <mergeCell ref="V19:V20"/>
    <mergeCell ref="X19:X20"/>
    <mergeCell ref="R40:Z40"/>
    <mergeCell ref="R42:Z42"/>
    <mergeCell ref="R30:Z30"/>
    <mergeCell ref="R32:Z32"/>
    <mergeCell ref="R34:Z34"/>
    <mergeCell ref="R36:Z36"/>
    <mergeCell ref="R38:Z38"/>
  </mergeCells>
  <pageMargins left="0.25" right="0.25" top="0.75" bottom="0.75" header="0.3" footer="0.3"/>
  <pageSetup paperSize="9" scale="56" orientation="landscape" horizontalDpi="4294967293" verticalDpi="4294967293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Planilha13">
    <tabColor theme="0" tint="-0.249977111117893"/>
  </sheetPr>
  <dimension ref="A2:AM61"/>
  <sheetViews>
    <sheetView tabSelected="1" view="pageBreakPreview" zoomScale="115" zoomScaleSheetLayoutView="115" workbookViewId="0">
      <selection activeCell="A63" sqref="A63"/>
    </sheetView>
  </sheetViews>
  <sheetFormatPr defaultColWidth="9.140625" defaultRowHeight="12"/>
  <cols>
    <col min="1" max="1" width="2.7109375" style="1" customWidth="1"/>
    <col min="2" max="2" width="3.28515625" style="1" customWidth="1"/>
    <col min="3" max="12" width="2.7109375" style="1" customWidth="1"/>
    <col min="13" max="13" width="13.5703125" style="1" customWidth="1"/>
    <col min="14" max="20" width="2.7109375" style="1" customWidth="1"/>
    <col min="21" max="21" width="3.140625" style="1" customWidth="1"/>
    <col min="22" max="27" width="2.7109375" style="1" customWidth="1"/>
    <col min="28" max="28" width="0.85546875" style="1" customWidth="1"/>
    <col min="29" max="32" width="2.7109375" style="1" customWidth="1"/>
    <col min="33" max="33" width="0.85546875" style="1" customWidth="1"/>
    <col min="34" max="35" width="9.140625" style="1"/>
    <col min="36" max="36" width="9.85546875" style="1" bestFit="1" customWidth="1"/>
    <col min="37" max="37" width="9.140625" style="1"/>
    <col min="38" max="38" width="9.85546875" style="1" bestFit="1" customWidth="1"/>
    <col min="39" max="16384" width="9.140625" style="1"/>
  </cols>
  <sheetData>
    <row r="2" spans="1:35" ht="21.75" customHeight="1">
      <c r="J2" s="700" t="s">
        <v>282</v>
      </c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1"/>
      <c r="AF2" s="701"/>
      <c r="AG2" s="701"/>
    </row>
    <row r="3" spans="1:35" ht="15.75">
      <c r="I3" s="2"/>
      <c r="J3" s="700" t="s">
        <v>283</v>
      </c>
      <c r="K3" s="700"/>
      <c r="L3" s="700"/>
      <c r="M3" s="700"/>
      <c r="N3" s="700"/>
      <c r="O3" s="700"/>
      <c r="P3" s="700"/>
      <c r="Q3" s="700"/>
      <c r="R3" s="700"/>
      <c r="S3" s="700"/>
      <c r="T3" s="700"/>
      <c r="U3" s="700"/>
      <c r="V3" s="700"/>
      <c r="W3" s="700"/>
      <c r="X3" s="700"/>
      <c r="Y3" s="700"/>
      <c r="Z3" s="700"/>
      <c r="AA3" s="700"/>
      <c r="AB3" s="700"/>
      <c r="AC3" s="700"/>
      <c r="AD3" s="700"/>
      <c r="AE3" s="700"/>
      <c r="AF3" s="700"/>
      <c r="AG3" s="700"/>
      <c r="AI3" s="33"/>
    </row>
    <row r="6" spans="1:35">
      <c r="A6" s="3" t="s">
        <v>284</v>
      </c>
      <c r="C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G6" s="4"/>
    </row>
    <row r="7" spans="1:35" s="6" customFormat="1" ht="6.75">
      <c r="A7" s="5"/>
      <c r="C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G7" s="8"/>
    </row>
    <row r="8" spans="1:35" ht="12.75" customHeight="1">
      <c r="A8" s="702" t="s">
        <v>449</v>
      </c>
      <c r="B8" s="703"/>
      <c r="C8" s="703"/>
      <c r="D8" s="703"/>
      <c r="E8" s="703"/>
      <c r="F8" s="703"/>
      <c r="G8" s="703"/>
      <c r="H8" s="703"/>
      <c r="I8" s="703"/>
      <c r="J8" s="703"/>
      <c r="K8" s="703"/>
      <c r="L8" s="703"/>
      <c r="M8" s="703"/>
      <c r="N8" s="703"/>
      <c r="O8" s="703"/>
      <c r="P8" s="703"/>
      <c r="Q8" s="703"/>
      <c r="R8" s="703"/>
      <c r="S8" s="703"/>
      <c r="T8" s="703"/>
      <c r="U8" s="703"/>
      <c r="V8" s="703"/>
      <c r="W8" s="703"/>
      <c r="X8" s="703"/>
      <c r="Y8" s="703"/>
      <c r="Z8" s="703"/>
      <c r="AA8" s="703"/>
      <c r="AB8" s="703"/>
      <c r="AC8" s="703"/>
      <c r="AD8" s="703"/>
      <c r="AE8" s="703"/>
      <c r="AF8" s="703"/>
      <c r="AG8" s="704"/>
    </row>
    <row r="9" spans="1:35" s="6" customFormat="1" ht="6.75">
      <c r="B9" s="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35">
      <c r="A10" s="3" t="s">
        <v>285</v>
      </c>
      <c r="C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G10" s="4"/>
    </row>
    <row r="11" spans="1:35" s="6" customFormat="1" ht="6.75">
      <c r="A11" s="5"/>
      <c r="C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G11" s="8"/>
    </row>
    <row r="12" spans="1:35" ht="12.75">
      <c r="A12" s="705" t="s">
        <v>374</v>
      </c>
      <c r="B12" s="706"/>
      <c r="C12" s="706"/>
      <c r="D12" s="706"/>
      <c r="E12" s="706"/>
      <c r="F12" s="706"/>
      <c r="G12" s="706"/>
      <c r="H12" s="706"/>
      <c r="I12" s="706"/>
      <c r="J12" s="706"/>
      <c r="K12" s="706"/>
      <c r="L12" s="706"/>
      <c r="M12" s="706"/>
      <c r="N12" s="706"/>
      <c r="O12" s="706"/>
      <c r="P12" s="706"/>
      <c r="Q12" s="706"/>
      <c r="R12" s="706"/>
      <c r="S12" s="706"/>
      <c r="T12" s="706"/>
      <c r="U12" s="706"/>
      <c r="V12" s="706"/>
      <c r="W12" s="706"/>
      <c r="X12" s="706"/>
      <c r="Y12" s="706"/>
      <c r="Z12" s="706"/>
      <c r="AA12" s="706"/>
      <c r="AB12" s="706"/>
      <c r="AC12" s="706"/>
      <c r="AD12" s="706"/>
      <c r="AE12" s="706"/>
      <c r="AF12" s="706"/>
      <c r="AG12" s="707"/>
    </row>
    <row r="13" spans="1:35" s="6" customFormat="1" ht="6.75"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35">
      <c r="A14" s="3" t="s">
        <v>259</v>
      </c>
      <c r="C14" s="2"/>
      <c r="J14" s="2"/>
      <c r="K14" s="2"/>
      <c r="L14" s="2"/>
      <c r="O14" s="2"/>
      <c r="P14" s="3" t="s">
        <v>260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G14" s="4"/>
    </row>
    <row r="15" spans="1:35" s="6" customFormat="1" ht="6.75">
      <c r="A15" s="5"/>
      <c r="C15" s="7"/>
      <c r="J15" s="7"/>
      <c r="K15" s="7"/>
      <c r="L15" s="7"/>
      <c r="O15" s="7"/>
      <c r="P15" s="5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G15" s="8"/>
    </row>
    <row r="16" spans="1:35" ht="12.75" customHeight="1">
      <c r="A16" s="81" t="s">
        <v>286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 t="s">
        <v>287</v>
      </c>
      <c r="Q16" s="26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3"/>
    </row>
    <row r="17" spans="1:39">
      <c r="B17" s="10"/>
      <c r="E17" s="11"/>
      <c r="F17" s="11"/>
      <c r="G17" s="11"/>
      <c r="H17" s="11"/>
      <c r="I17" s="11"/>
      <c r="J17" s="11"/>
      <c r="K17" s="11"/>
      <c r="L17" s="11"/>
      <c r="M17" s="10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39" ht="12.75" customHeight="1">
      <c r="A18" s="12" t="s">
        <v>271</v>
      </c>
      <c r="B18" s="13"/>
      <c r="C18" s="12" t="s">
        <v>288</v>
      </c>
      <c r="E18" s="13"/>
      <c r="F18" s="13"/>
      <c r="G18" s="13"/>
      <c r="H18" s="13"/>
      <c r="I18" s="13"/>
      <c r="J18" s="13"/>
      <c r="K18" s="13"/>
      <c r="L18" s="13"/>
      <c r="M18" s="4"/>
      <c r="N18" s="14" t="s">
        <v>289</v>
      </c>
      <c r="O18" s="15"/>
      <c r="P18" s="15"/>
      <c r="Q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G18" s="4"/>
    </row>
    <row r="19" spans="1:39">
      <c r="A19" s="16"/>
      <c r="B19" s="13"/>
      <c r="C19" s="16"/>
      <c r="E19" s="13"/>
      <c r="F19" s="13"/>
      <c r="G19" s="10"/>
      <c r="H19" s="13"/>
      <c r="I19" s="13"/>
      <c r="J19" s="13"/>
      <c r="K19" s="13"/>
      <c r="L19" s="13"/>
      <c r="M19" s="4"/>
      <c r="N19" s="14" t="s">
        <v>290</v>
      </c>
      <c r="O19" s="15"/>
      <c r="P19" s="15"/>
      <c r="Q19" s="15"/>
      <c r="S19" s="17" t="s">
        <v>291</v>
      </c>
      <c r="T19" s="15"/>
      <c r="U19" s="15"/>
      <c r="V19" s="15"/>
      <c r="W19" s="4"/>
      <c r="X19" s="14" t="s">
        <v>292</v>
      </c>
      <c r="Y19" s="15"/>
      <c r="Z19" s="15"/>
      <c r="AA19" s="15"/>
      <c r="AC19" s="17" t="s">
        <v>293</v>
      </c>
      <c r="AD19" s="15"/>
      <c r="AE19" s="15"/>
      <c r="AF19" s="15"/>
      <c r="AG19" s="4"/>
    </row>
    <row r="20" spans="1:39" ht="12.75">
      <c r="A20" s="708"/>
      <c r="B20" s="709"/>
      <c r="C20" s="708"/>
      <c r="D20" s="709"/>
      <c r="E20" s="709"/>
      <c r="F20" s="709"/>
      <c r="G20" s="709"/>
      <c r="H20" s="709"/>
      <c r="I20" s="709"/>
      <c r="J20" s="709"/>
      <c r="K20" s="709"/>
      <c r="L20" s="709"/>
      <c r="M20" s="709"/>
      <c r="N20" s="710"/>
      <c r="O20" s="710"/>
      <c r="P20" s="710"/>
      <c r="Q20" s="710"/>
      <c r="R20" s="709"/>
      <c r="S20" s="678"/>
      <c r="T20" s="679"/>
      <c r="U20" s="679"/>
      <c r="V20" s="679"/>
      <c r="W20" s="680"/>
      <c r="X20" s="678"/>
      <c r="Y20" s="679"/>
      <c r="Z20" s="679"/>
      <c r="AA20" s="679"/>
      <c r="AB20" s="680"/>
      <c r="AC20" s="665" t="str">
        <f>IF(N20+S20+X20&lt;&gt;0,N20+S20+X20," ")</f>
        <v/>
      </c>
      <c r="AD20" s="666"/>
      <c r="AE20" s="666"/>
      <c r="AF20" s="666"/>
      <c r="AG20" s="667"/>
    </row>
    <row r="21" spans="1:39" ht="12.75">
      <c r="A21" s="673"/>
      <c r="B21" s="652"/>
      <c r="C21" s="673"/>
      <c r="D21" s="652"/>
      <c r="E21" s="652"/>
      <c r="F21" s="652"/>
      <c r="G21" s="652"/>
      <c r="H21" s="652"/>
      <c r="I21" s="652"/>
      <c r="J21" s="652"/>
      <c r="K21" s="652"/>
      <c r="L21" s="652"/>
      <c r="M21" s="652"/>
      <c r="N21" s="651"/>
      <c r="O21" s="651"/>
      <c r="P21" s="651"/>
      <c r="Q21" s="651"/>
      <c r="R21" s="652"/>
      <c r="S21" s="653"/>
      <c r="T21" s="654"/>
      <c r="U21" s="654"/>
      <c r="V21" s="654"/>
      <c r="W21" s="655"/>
      <c r="X21" s="653"/>
      <c r="Y21" s="654"/>
      <c r="Z21" s="654"/>
      <c r="AA21" s="654"/>
      <c r="AB21" s="655"/>
      <c r="AC21" s="656" t="str">
        <f>IF(N21+S21+X21&lt;&gt;0,N21+S21+X21," ")</f>
        <v/>
      </c>
      <c r="AD21" s="657"/>
      <c r="AE21" s="657"/>
      <c r="AF21" s="657"/>
      <c r="AG21" s="658"/>
    </row>
    <row r="22" spans="1:39" ht="12.75">
      <c r="A22" s="698" t="s">
        <v>134</v>
      </c>
      <c r="B22" s="699"/>
      <c r="C22" s="674" t="s">
        <v>294</v>
      </c>
      <c r="D22" s="675"/>
      <c r="E22" s="675"/>
      <c r="F22" s="675"/>
      <c r="G22" s="675"/>
      <c r="H22" s="675"/>
      <c r="I22" s="675"/>
      <c r="J22" s="675"/>
      <c r="K22" s="675"/>
      <c r="L22" s="675"/>
      <c r="M22" s="675"/>
      <c r="N22" s="677"/>
      <c r="O22" s="677"/>
      <c r="P22" s="677"/>
      <c r="Q22" s="677"/>
      <c r="R22" s="675"/>
      <c r="S22" s="694"/>
      <c r="T22" s="668"/>
      <c r="U22" s="668"/>
      <c r="V22" s="668"/>
      <c r="W22" s="695"/>
      <c r="X22" s="678"/>
      <c r="Y22" s="679"/>
      <c r="Z22" s="679"/>
      <c r="AA22" s="679"/>
      <c r="AB22" s="680"/>
      <c r="AC22" s="665" t="str">
        <f>IF(N22+S22+X22&lt;&gt;0,N22+S22+X22," ")</f>
        <v/>
      </c>
      <c r="AD22" s="666"/>
      <c r="AE22" s="666"/>
      <c r="AF22" s="666"/>
      <c r="AG22" s="667"/>
    </row>
    <row r="23" spans="1:39" ht="12.75" customHeight="1">
      <c r="A23" s="686"/>
      <c r="B23" s="687"/>
      <c r="C23" s="676"/>
      <c r="D23" s="675"/>
      <c r="E23" s="675"/>
      <c r="F23" s="675"/>
      <c r="G23" s="675"/>
      <c r="H23" s="675"/>
      <c r="I23" s="675"/>
      <c r="J23" s="675"/>
      <c r="K23" s="675"/>
      <c r="L23" s="675"/>
      <c r="M23" s="675"/>
      <c r="N23" s="696"/>
      <c r="O23" s="696"/>
      <c r="P23" s="696"/>
      <c r="Q23" s="696"/>
      <c r="R23" s="697"/>
      <c r="S23" s="688"/>
      <c r="T23" s="689"/>
      <c r="U23" s="689"/>
      <c r="V23" s="689"/>
      <c r="W23" s="690"/>
      <c r="X23" s="678"/>
      <c r="Y23" s="679"/>
      <c r="Z23" s="679"/>
      <c r="AA23" s="679"/>
      <c r="AB23" s="680"/>
      <c r="AC23" s="665"/>
      <c r="AD23" s="666"/>
      <c r="AE23" s="666"/>
      <c r="AF23" s="666"/>
      <c r="AG23" s="667"/>
    </row>
    <row r="24" spans="1:39" ht="12.75" customHeight="1">
      <c r="A24" s="686"/>
      <c r="B24" s="687"/>
      <c r="C24" s="676" t="str">
        <f>RESUMO!E20</f>
        <v>Rua do Tambor</v>
      </c>
      <c r="D24" s="675"/>
      <c r="E24" s="675"/>
      <c r="F24" s="675"/>
      <c r="G24" s="675"/>
      <c r="H24" s="675"/>
      <c r="I24" s="675"/>
      <c r="J24" s="675"/>
      <c r="K24" s="675"/>
      <c r="L24" s="675"/>
      <c r="M24" s="675"/>
      <c r="N24" s="677">
        <f>RESUMO!E57</f>
        <v>65356.15</v>
      </c>
      <c r="O24" s="677"/>
      <c r="P24" s="677"/>
      <c r="Q24" s="677"/>
      <c r="R24" s="675"/>
      <c r="S24" s="688"/>
      <c r="T24" s="689"/>
      <c r="U24" s="689"/>
      <c r="V24" s="689"/>
      <c r="W24" s="690"/>
      <c r="X24" s="694"/>
      <c r="Y24" s="668"/>
      <c r="Z24" s="668"/>
      <c r="AA24" s="668"/>
      <c r="AB24" s="695"/>
      <c r="AC24" s="665">
        <f>IF(N24+S24+X24&lt;&gt;0,N24+S24+X24," ")</f>
        <v>65356.15</v>
      </c>
      <c r="AD24" s="666"/>
      <c r="AE24" s="666"/>
      <c r="AF24" s="666"/>
      <c r="AG24" s="667"/>
    </row>
    <row r="25" spans="1:39" ht="12.75" customHeight="1">
      <c r="A25" s="686"/>
      <c r="B25" s="687"/>
      <c r="C25" s="676" t="str">
        <f>RESUMO!F20</f>
        <v>Rua Vitorino Miguel de Oliveira</v>
      </c>
      <c r="D25" s="675"/>
      <c r="E25" s="675"/>
      <c r="F25" s="675"/>
      <c r="G25" s="675"/>
      <c r="H25" s="675"/>
      <c r="I25" s="675"/>
      <c r="J25" s="675"/>
      <c r="K25" s="675"/>
      <c r="L25" s="675"/>
      <c r="M25" s="675"/>
      <c r="N25" s="677">
        <f>RESUMO!F57</f>
        <v>109078.56</v>
      </c>
      <c r="O25" s="677"/>
      <c r="P25" s="677"/>
      <c r="Q25" s="677"/>
      <c r="R25" s="675"/>
      <c r="S25" s="688"/>
      <c r="T25" s="689"/>
      <c r="U25" s="689"/>
      <c r="V25" s="689"/>
      <c r="W25" s="690"/>
      <c r="X25" s="678"/>
      <c r="Y25" s="679"/>
      <c r="Z25" s="679"/>
      <c r="AA25" s="679"/>
      <c r="AB25" s="680"/>
      <c r="AC25" s="665">
        <f>IF(N25+S25+X25&lt;&gt;0,N25+S25+X25," ")</f>
        <v>109078.56</v>
      </c>
      <c r="AD25" s="666"/>
      <c r="AE25" s="666"/>
      <c r="AF25" s="666"/>
      <c r="AG25" s="667"/>
    </row>
    <row r="26" spans="1:39" ht="12.75" customHeight="1">
      <c r="A26" s="686"/>
      <c r="B26" s="687"/>
      <c r="C26" s="676" t="str">
        <f>RESUMO!G20</f>
        <v>Rua Julia Ferreira da Silva</v>
      </c>
      <c r="D26" s="675"/>
      <c r="E26" s="675"/>
      <c r="F26" s="675"/>
      <c r="G26" s="675"/>
      <c r="H26" s="675"/>
      <c r="I26" s="675"/>
      <c r="J26" s="675"/>
      <c r="K26" s="675"/>
      <c r="L26" s="675"/>
      <c r="M26" s="675"/>
      <c r="N26" s="677">
        <f>RESUMO!G57-S26</f>
        <v>134147.56</v>
      </c>
      <c r="O26" s="677"/>
      <c r="P26" s="677"/>
      <c r="Q26" s="677"/>
      <c r="R26" s="675"/>
      <c r="S26" s="691">
        <f>IF(AL28&lt;AM28,AM28,AL28)</f>
        <v>22518.25</v>
      </c>
      <c r="T26" s="692"/>
      <c r="U26" s="692"/>
      <c r="V26" s="692"/>
      <c r="W26" s="693"/>
      <c r="X26" s="694"/>
      <c r="Y26" s="668"/>
      <c r="Z26" s="668"/>
      <c r="AA26" s="668"/>
      <c r="AB26" s="695"/>
      <c r="AC26" s="665">
        <f t="shared" ref="AC26:AC33" si="0">IF(N26+S26+X26&lt;&gt;0,N26+S26+X26," ")</f>
        <v>156665.81</v>
      </c>
      <c r="AD26" s="666"/>
      <c r="AE26" s="666"/>
      <c r="AF26" s="666"/>
      <c r="AG26" s="667"/>
      <c r="AJ26" s="34"/>
      <c r="AL26" s="34">
        <f>RESUMO!D57</f>
        <v>934395.64</v>
      </c>
    </row>
    <row r="27" spans="1:39" ht="12.75" customHeight="1">
      <c r="A27" s="674"/>
      <c r="B27" s="675"/>
      <c r="C27" s="676" t="str">
        <f>RESUMO!H20</f>
        <v>Rua Sebastião Viana Fernandes</v>
      </c>
      <c r="D27" s="675"/>
      <c r="E27" s="675"/>
      <c r="F27" s="675"/>
      <c r="G27" s="675"/>
      <c r="H27" s="675"/>
      <c r="I27" s="675"/>
      <c r="J27" s="675"/>
      <c r="K27" s="675"/>
      <c r="L27" s="675"/>
      <c r="M27" s="675"/>
      <c r="N27" s="677">
        <f>RESUMO!H57</f>
        <v>41842.199999999997</v>
      </c>
      <c r="O27" s="677"/>
      <c r="P27" s="677"/>
      <c r="Q27" s="677"/>
      <c r="R27" s="675"/>
      <c r="S27" s="681"/>
      <c r="T27" s="682"/>
      <c r="U27" s="682"/>
      <c r="V27" s="682"/>
      <c r="W27" s="683"/>
      <c r="X27" s="678"/>
      <c r="Y27" s="679"/>
      <c r="Z27" s="679"/>
      <c r="AA27" s="679"/>
      <c r="AB27" s="680"/>
      <c r="AC27" s="665">
        <f t="shared" si="0"/>
        <v>41842.199999999997</v>
      </c>
      <c r="AD27" s="666"/>
      <c r="AE27" s="666"/>
      <c r="AF27" s="666"/>
      <c r="AG27" s="667"/>
      <c r="AL27" s="1">
        <v>911877.39</v>
      </c>
    </row>
    <row r="28" spans="1:39" ht="12.75">
      <c r="A28" s="684"/>
      <c r="B28" s="685"/>
      <c r="C28" s="676" t="str">
        <f>RESUMO!I20</f>
        <v>Rua José Evangelista da Silva</v>
      </c>
      <c r="D28" s="675"/>
      <c r="E28" s="675"/>
      <c r="F28" s="675"/>
      <c r="G28" s="675"/>
      <c r="H28" s="675"/>
      <c r="I28" s="675"/>
      <c r="J28" s="675"/>
      <c r="K28" s="675"/>
      <c r="L28" s="675"/>
      <c r="M28" s="675"/>
      <c r="N28" s="677">
        <f>RESUMO!I57</f>
        <v>80635.22</v>
      </c>
      <c r="O28" s="677"/>
      <c r="P28" s="677"/>
      <c r="Q28" s="677"/>
      <c r="R28" s="675"/>
      <c r="S28" s="681"/>
      <c r="T28" s="682"/>
      <c r="U28" s="682"/>
      <c r="V28" s="682"/>
      <c r="W28" s="683"/>
      <c r="X28" s="678"/>
      <c r="Y28" s="679"/>
      <c r="Z28" s="679"/>
      <c r="AA28" s="679"/>
      <c r="AB28" s="680"/>
      <c r="AC28" s="665">
        <f t="shared" si="0"/>
        <v>80635.22</v>
      </c>
      <c r="AD28" s="666"/>
      <c r="AE28" s="666"/>
      <c r="AF28" s="666"/>
      <c r="AG28" s="667"/>
      <c r="AL28" s="34">
        <f>AL26-AL27</f>
        <v>22518.25</v>
      </c>
      <c r="AM28" s="1">
        <v>2300</v>
      </c>
    </row>
    <row r="29" spans="1:39" ht="12.75">
      <c r="A29" s="674"/>
      <c r="B29" s="675"/>
      <c r="C29" s="676" t="str">
        <f>RESUMO!J20</f>
        <v>Rua Alzira Joana da Conceição</v>
      </c>
      <c r="D29" s="675"/>
      <c r="E29" s="675"/>
      <c r="F29" s="675"/>
      <c r="G29" s="675"/>
      <c r="H29" s="675"/>
      <c r="I29" s="675"/>
      <c r="J29" s="675"/>
      <c r="K29" s="675"/>
      <c r="L29" s="675"/>
      <c r="M29" s="675"/>
      <c r="N29" s="677">
        <f>RESUMO!J57</f>
        <v>107362.87</v>
      </c>
      <c r="O29" s="677"/>
      <c r="P29" s="677"/>
      <c r="Q29" s="677"/>
      <c r="R29" s="675"/>
      <c r="S29" s="678"/>
      <c r="T29" s="679"/>
      <c r="U29" s="679"/>
      <c r="V29" s="679"/>
      <c r="W29" s="680"/>
      <c r="X29" s="678"/>
      <c r="Y29" s="679"/>
      <c r="Z29" s="679"/>
      <c r="AA29" s="679"/>
      <c r="AB29" s="680"/>
      <c r="AC29" s="665">
        <f t="shared" si="0"/>
        <v>107362.87</v>
      </c>
      <c r="AD29" s="666"/>
      <c r="AE29" s="666"/>
      <c r="AF29" s="666"/>
      <c r="AG29" s="667"/>
    </row>
    <row r="30" spans="1:39" ht="12.75">
      <c r="A30" s="674"/>
      <c r="B30" s="675"/>
      <c r="C30" s="676" t="str">
        <f>RESUMO!K20</f>
        <v>Rua Marcos Moises de oliveira</v>
      </c>
      <c r="D30" s="675"/>
      <c r="E30" s="675"/>
      <c r="F30" s="675"/>
      <c r="G30" s="675"/>
      <c r="H30" s="675"/>
      <c r="I30" s="675"/>
      <c r="J30" s="675"/>
      <c r="K30" s="675"/>
      <c r="L30" s="675"/>
      <c r="M30" s="675"/>
      <c r="N30" s="677">
        <f>RESUMO!K57</f>
        <v>33208.46</v>
      </c>
      <c r="O30" s="677"/>
      <c r="P30" s="677"/>
      <c r="Q30" s="677"/>
      <c r="R30" s="675"/>
      <c r="S30" s="678"/>
      <c r="T30" s="679"/>
      <c r="U30" s="679"/>
      <c r="V30" s="679"/>
      <c r="W30" s="680"/>
      <c r="X30" s="678"/>
      <c r="Y30" s="679"/>
      <c r="Z30" s="679"/>
      <c r="AA30" s="679"/>
      <c r="AB30" s="680"/>
      <c r="AC30" s="665">
        <f t="shared" si="0"/>
        <v>33208.46</v>
      </c>
      <c r="AD30" s="666"/>
      <c r="AE30" s="666"/>
      <c r="AF30" s="666"/>
      <c r="AG30" s="667"/>
    </row>
    <row r="31" spans="1:39" ht="12.75">
      <c r="A31" s="674"/>
      <c r="B31" s="675"/>
      <c r="C31" s="676" t="str">
        <f>RESUMO!L20</f>
        <v>Rua Antônio de Matos Barbosa</v>
      </c>
      <c r="D31" s="675"/>
      <c r="E31" s="675"/>
      <c r="F31" s="675"/>
      <c r="G31" s="675"/>
      <c r="H31" s="675"/>
      <c r="I31" s="675"/>
      <c r="J31" s="675"/>
      <c r="K31" s="675"/>
      <c r="L31" s="675"/>
      <c r="M31" s="675"/>
      <c r="N31" s="677">
        <f>RESUMO!L57</f>
        <v>173299.84</v>
      </c>
      <c r="O31" s="677"/>
      <c r="P31" s="677"/>
      <c r="Q31" s="677"/>
      <c r="R31" s="675"/>
      <c r="S31" s="678"/>
      <c r="T31" s="679"/>
      <c r="U31" s="679"/>
      <c r="V31" s="679"/>
      <c r="W31" s="680"/>
      <c r="X31" s="678"/>
      <c r="Y31" s="679"/>
      <c r="Z31" s="679"/>
      <c r="AA31" s="679"/>
      <c r="AB31" s="680"/>
      <c r="AC31" s="665">
        <f t="shared" si="0"/>
        <v>173299.84</v>
      </c>
      <c r="AD31" s="666"/>
      <c r="AE31" s="666"/>
      <c r="AF31" s="666"/>
      <c r="AG31" s="667"/>
    </row>
    <row r="32" spans="1:39" ht="12.75">
      <c r="A32" s="674"/>
      <c r="B32" s="675"/>
      <c r="C32" s="676" t="str">
        <f>RESUMO!M20</f>
        <v>Rua Josete Maria da Silva Elias</v>
      </c>
      <c r="D32" s="675"/>
      <c r="E32" s="675"/>
      <c r="F32" s="675"/>
      <c r="G32" s="675"/>
      <c r="H32" s="675"/>
      <c r="I32" s="675"/>
      <c r="J32" s="675"/>
      <c r="K32" s="675"/>
      <c r="L32" s="675"/>
      <c r="M32" s="675"/>
      <c r="N32" s="677">
        <f>RESUMO!M57</f>
        <v>30515.72</v>
      </c>
      <c r="O32" s="677"/>
      <c r="P32" s="677"/>
      <c r="Q32" s="677"/>
      <c r="R32" s="675"/>
      <c r="S32" s="678"/>
      <c r="T32" s="679"/>
      <c r="U32" s="679"/>
      <c r="V32" s="679"/>
      <c r="W32" s="680"/>
      <c r="X32" s="678"/>
      <c r="Y32" s="679"/>
      <c r="Z32" s="679"/>
      <c r="AA32" s="679"/>
      <c r="AB32" s="680"/>
      <c r="AC32" s="665">
        <f t="shared" si="0"/>
        <v>30515.72</v>
      </c>
      <c r="AD32" s="666"/>
      <c r="AE32" s="666"/>
      <c r="AF32" s="666"/>
      <c r="AG32" s="667"/>
    </row>
    <row r="33" spans="1:37" ht="12.75">
      <c r="A33" s="674"/>
      <c r="B33" s="675"/>
      <c r="C33" s="676" t="str">
        <f>RESUMO!N20</f>
        <v>Rua Maria Francisca da Conceição</v>
      </c>
      <c r="D33" s="675"/>
      <c r="E33" s="675"/>
      <c r="F33" s="675"/>
      <c r="G33" s="675"/>
      <c r="H33" s="675"/>
      <c r="I33" s="675"/>
      <c r="J33" s="675"/>
      <c r="K33" s="675"/>
      <c r="L33" s="675"/>
      <c r="M33" s="675"/>
      <c r="N33" s="677">
        <f>RESUMO!N57</f>
        <v>136430.81</v>
      </c>
      <c r="O33" s="677"/>
      <c r="P33" s="677"/>
      <c r="Q33" s="677"/>
      <c r="R33" s="675"/>
      <c r="S33" s="678"/>
      <c r="T33" s="679"/>
      <c r="U33" s="679"/>
      <c r="V33" s="679"/>
      <c r="W33" s="680"/>
      <c r="X33" s="678"/>
      <c r="Y33" s="679"/>
      <c r="Z33" s="679"/>
      <c r="AA33" s="679"/>
      <c r="AB33" s="680"/>
      <c r="AC33" s="665">
        <f t="shared" si="0"/>
        <v>136430.81</v>
      </c>
      <c r="AD33" s="666"/>
      <c r="AE33" s="666"/>
      <c r="AF33" s="666"/>
      <c r="AG33" s="667"/>
    </row>
    <row r="34" spans="1:37" ht="12.75">
      <c r="A34" s="673"/>
      <c r="B34" s="652"/>
      <c r="C34" s="673"/>
      <c r="D34" s="652"/>
      <c r="E34" s="652"/>
      <c r="F34" s="652"/>
      <c r="G34" s="652"/>
      <c r="H34" s="652"/>
      <c r="I34" s="652"/>
      <c r="J34" s="652"/>
      <c r="K34" s="652"/>
      <c r="L34" s="652"/>
      <c r="M34" s="652"/>
      <c r="N34" s="651"/>
      <c r="O34" s="651"/>
      <c r="P34" s="651"/>
      <c r="Q34" s="651"/>
      <c r="R34" s="652"/>
      <c r="S34" s="653"/>
      <c r="T34" s="654"/>
      <c r="U34" s="654"/>
      <c r="V34" s="654"/>
      <c r="W34" s="655"/>
      <c r="X34" s="653"/>
      <c r="Y34" s="654"/>
      <c r="Z34" s="654"/>
      <c r="AA34" s="654"/>
      <c r="AB34" s="655"/>
      <c r="AC34" s="656" t="str">
        <f t="shared" ref="AC34:AC46" si="1">IF(N34+S34+X34&lt;&gt;0,N34+S34+X34," ")</f>
        <v/>
      </c>
      <c r="AD34" s="657"/>
      <c r="AE34" s="657"/>
      <c r="AF34" s="657"/>
      <c r="AG34" s="658"/>
      <c r="AJ34" s="35"/>
      <c r="AK34" s="34"/>
    </row>
    <row r="35" spans="1:37" ht="12.75">
      <c r="A35" s="673"/>
      <c r="B35" s="652"/>
      <c r="C35" s="673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1"/>
      <c r="O35" s="651"/>
      <c r="P35" s="651"/>
      <c r="Q35" s="651"/>
      <c r="R35" s="652"/>
      <c r="S35" s="653"/>
      <c r="T35" s="654"/>
      <c r="U35" s="654"/>
      <c r="V35" s="654"/>
      <c r="W35" s="655"/>
      <c r="X35" s="653"/>
      <c r="Y35" s="654"/>
      <c r="Z35" s="654"/>
      <c r="AA35" s="654"/>
      <c r="AB35" s="655"/>
      <c r="AC35" s="656" t="str">
        <f t="shared" si="1"/>
        <v/>
      </c>
      <c r="AD35" s="657"/>
      <c r="AE35" s="657"/>
      <c r="AF35" s="657"/>
      <c r="AG35" s="658"/>
    </row>
    <row r="36" spans="1:37" ht="12.75">
      <c r="A36" s="673"/>
      <c r="B36" s="652"/>
      <c r="C36" s="673"/>
      <c r="D36" s="652"/>
      <c r="E36" s="652"/>
      <c r="F36" s="652"/>
      <c r="G36" s="652"/>
      <c r="H36" s="652"/>
      <c r="I36" s="652"/>
      <c r="J36" s="652"/>
      <c r="K36" s="652"/>
      <c r="L36" s="652"/>
      <c r="M36" s="652"/>
      <c r="N36" s="651"/>
      <c r="O36" s="651"/>
      <c r="P36" s="651"/>
      <c r="Q36" s="651"/>
      <c r="R36" s="652"/>
      <c r="S36" s="653"/>
      <c r="T36" s="654"/>
      <c r="U36" s="654"/>
      <c r="V36" s="654"/>
      <c r="W36" s="655"/>
      <c r="X36" s="653"/>
      <c r="Y36" s="654"/>
      <c r="Z36" s="654"/>
      <c r="AA36" s="654"/>
      <c r="AB36" s="655"/>
      <c r="AC36" s="656" t="str">
        <f t="shared" si="1"/>
        <v/>
      </c>
      <c r="AD36" s="657"/>
      <c r="AE36" s="657"/>
      <c r="AF36" s="657"/>
      <c r="AG36" s="658"/>
    </row>
    <row r="37" spans="1:37" ht="12.75">
      <c r="A37" s="673"/>
      <c r="B37" s="652"/>
      <c r="C37" s="673"/>
      <c r="D37" s="652"/>
      <c r="E37" s="652"/>
      <c r="F37" s="652"/>
      <c r="G37" s="652"/>
      <c r="H37" s="652"/>
      <c r="I37" s="652"/>
      <c r="J37" s="652"/>
      <c r="K37" s="652"/>
      <c r="L37" s="652"/>
      <c r="M37" s="652"/>
      <c r="N37" s="651"/>
      <c r="O37" s="651"/>
      <c r="P37" s="651"/>
      <c r="Q37" s="651"/>
      <c r="R37" s="652"/>
      <c r="S37" s="653"/>
      <c r="T37" s="654"/>
      <c r="U37" s="654"/>
      <c r="V37" s="654"/>
      <c r="W37" s="655"/>
      <c r="X37" s="653"/>
      <c r="Y37" s="654"/>
      <c r="Z37" s="654"/>
      <c r="AA37" s="654"/>
      <c r="AB37" s="655"/>
      <c r="AC37" s="656" t="str">
        <f t="shared" si="1"/>
        <v/>
      </c>
      <c r="AD37" s="657"/>
      <c r="AE37" s="657"/>
      <c r="AF37" s="657"/>
      <c r="AG37" s="658"/>
    </row>
    <row r="38" spans="1:37" ht="12.75">
      <c r="A38" s="673"/>
      <c r="B38" s="652"/>
      <c r="C38" s="673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1"/>
      <c r="O38" s="651"/>
      <c r="P38" s="651"/>
      <c r="Q38" s="651"/>
      <c r="R38" s="652"/>
      <c r="S38" s="653"/>
      <c r="T38" s="654"/>
      <c r="U38" s="654"/>
      <c r="V38" s="654"/>
      <c r="W38" s="655"/>
      <c r="X38" s="653"/>
      <c r="Y38" s="654"/>
      <c r="Z38" s="654"/>
      <c r="AA38" s="654"/>
      <c r="AB38" s="655"/>
      <c r="AC38" s="656" t="str">
        <f t="shared" si="1"/>
        <v/>
      </c>
      <c r="AD38" s="657"/>
      <c r="AE38" s="657"/>
      <c r="AF38" s="657"/>
      <c r="AG38" s="658"/>
    </row>
    <row r="39" spans="1:37" ht="12.75">
      <c r="A39" s="673"/>
      <c r="B39" s="652"/>
      <c r="C39" s="673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1"/>
      <c r="O39" s="651"/>
      <c r="P39" s="651"/>
      <c r="Q39" s="651"/>
      <c r="R39" s="652"/>
      <c r="S39" s="653"/>
      <c r="T39" s="654"/>
      <c r="U39" s="654"/>
      <c r="V39" s="654"/>
      <c r="W39" s="655"/>
      <c r="X39" s="653"/>
      <c r="Y39" s="654"/>
      <c r="Z39" s="654"/>
      <c r="AA39" s="654"/>
      <c r="AB39" s="655"/>
      <c r="AC39" s="656" t="str">
        <f t="shared" si="1"/>
        <v/>
      </c>
      <c r="AD39" s="657"/>
      <c r="AE39" s="657"/>
      <c r="AF39" s="657"/>
      <c r="AG39" s="658"/>
      <c r="AK39" s="34"/>
    </row>
    <row r="40" spans="1:37" ht="12.75">
      <c r="A40" s="673"/>
      <c r="B40" s="652"/>
      <c r="C40" s="673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1"/>
      <c r="O40" s="651"/>
      <c r="P40" s="651"/>
      <c r="Q40" s="651"/>
      <c r="R40" s="652"/>
      <c r="S40" s="653"/>
      <c r="T40" s="654"/>
      <c r="U40" s="654"/>
      <c r="V40" s="654"/>
      <c r="W40" s="655"/>
      <c r="X40" s="653"/>
      <c r="Y40" s="654"/>
      <c r="Z40" s="654"/>
      <c r="AA40" s="654"/>
      <c r="AB40" s="655"/>
      <c r="AC40" s="656" t="str">
        <f t="shared" si="1"/>
        <v/>
      </c>
      <c r="AD40" s="657"/>
      <c r="AE40" s="657"/>
      <c r="AF40" s="657"/>
      <c r="AG40" s="658"/>
    </row>
    <row r="41" spans="1:37" ht="12.75">
      <c r="A41" s="673"/>
      <c r="B41" s="652"/>
      <c r="C41" s="673"/>
      <c r="D41" s="652"/>
      <c r="E41" s="652"/>
      <c r="F41" s="652"/>
      <c r="G41" s="652"/>
      <c r="H41" s="652"/>
      <c r="I41" s="652"/>
      <c r="J41" s="652"/>
      <c r="K41" s="652"/>
      <c r="L41" s="652"/>
      <c r="M41" s="652"/>
      <c r="N41" s="651"/>
      <c r="O41" s="651"/>
      <c r="P41" s="651"/>
      <c r="Q41" s="651"/>
      <c r="R41" s="652"/>
      <c r="S41" s="653"/>
      <c r="T41" s="654"/>
      <c r="U41" s="654"/>
      <c r="V41" s="654"/>
      <c r="W41" s="655"/>
      <c r="X41" s="653"/>
      <c r="Y41" s="654"/>
      <c r="Z41" s="654"/>
      <c r="AA41" s="654"/>
      <c r="AB41" s="655"/>
      <c r="AC41" s="656" t="str">
        <f t="shared" si="1"/>
        <v/>
      </c>
      <c r="AD41" s="657"/>
      <c r="AE41" s="657"/>
      <c r="AF41" s="657"/>
      <c r="AG41" s="658"/>
    </row>
    <row r="42" spans="1:37" ht="12.75">
      <c r="A42" s="673"/>
      <c r="B42" s="652"/>
      <c r="C42" s="673"/>
      <c r="D42" s="652"/>
      <c r="E42" s="652"/>
      <c r="F42" s="652"/>
      <c r="G42" s="652"/>
      <c r="H42" s="652"/>
      <c r="I42" s="652"/>
      <c r="J42" s="652"/>
      <c r="K42" s="652"/>
      <c r="L42" s="652"/>
      <c r="M42" s="652"/>
      <c r="N42" s="651"/>
      <c r="O42" s="651"/>
      <c r="P42" s="651"/>
      <c r="Q42" s="651"/>
      <c r="R42" s="652"/>
      <c r="S42" s="653"/>
      <c r="T42" s="654"/>
      <c r="U42" s="654"/>
      <c r="V42" s="654"/>
      <c r="W42" s="655"/>
      <c r="X42" s="653"/>
      <c r="Y42" s="654"/>
      <c r="Z42" s="654"/>
      <c r="AA42" s="654"/>
      <c r="AB42" s="655"/>
      <c r="AC42" s="656" t="str">
        <f t="shared" si="1"/>
        <v/>
      </c>
      <c r="AD42" s="657"/>
      <c r="AE42" s="657"/>
      <c r="AF42" s="657"/>
      <c r="AG42" s="658"/>
    </row>
    <row r="43" spans="1:37" ht="12.75">
      <c r="A43" s="673"/>
      <c r="B43" s="652"/>
      <c r="C43" s="673"/>
      <c r="D43" s="652"/>
      <c r="E43" s="652"/>
      <c r="F43" s="652"/>
      <c r="G43" s="652"/>
      <c r="H43" s="652"/>
      <c r="I43" s="652"/>
      <c r="J43" s="652"/>
      <c r="K43" s="652"/>
      <c r="L43" s="652"/>
      <c r="M43" s="652"/>
      <c r="N43" s="651"/>
      <c r="O43" s="651"/>
      <c r="P43" s="651"/>
      <c r="Q43" s="651"/>
      <c r="R43" s="652"/>
      <c r="S43" s="653"/>
      <c r="T43" s="654"/>
      <c r="U43" s="654"/>
      <c r="V43" s="654"/>
      <c r="W43" s="655"/>
      <c r="X43" s="653"/>
      <c r="Y43" s="654"/>
      <c r="Z43" s="654"/>
      <c r="AA43" s="654"/>
      <c r="AB43" s="655"/>
      <c r="AC43" s="656" t="str">
        <f t="shared" si="1"/>
        <v/>
      </c>
      <c r="AD43" s="657"/>
      <c r="AE43" s="657"/>
      <c r="AF43" s="657"/>
      <c r="AG43" s="658"/>
    </row>
    <row r="44" spans="1:37" ht="12.75">
      <c r="A44" s="673"/>
      <c r="B44" s="652"/>
      <c r="C44" s="673"/>
      <c r="D44" s="652"/>
      <c r="E44" s="652"/>
      <c r="F44" s="652"/>
      <c r="G44" s="652"/>
      <c r="H44" s="652"/>
      <c r="I44" s="652"/>
      <c r="J44" s="652"/>
      <c r="K44" s="652"/>
      <c r="L44" s="652"/>
      <c r="M44" s="652"/>
      <c r="N44" s="651"/>
      <c r="O44" s="651"/>
      <c r="P44" s="651"/>
      <c r="Q44" s="651"/>
      <c r="R44" s="652"/>
      <c r="S44" s="653"/>
      <c r="T44" s="654"/>
      <c r="U44" s="654"/>
      <c r="V44" s="654"/>
      <c r="W44" s="655"/>
      <c r="X44" s="653"/>
      <c r="Y44" s="654"/>
      <c r="Z44" s="654"/>
      <c r="AA44" s="654"/>
      <c r="AB44" s="655"/>
      <c r="AC44" s="656" t="str">
        <f t="shared" si="1"/>
        <v/>
      </c>
      <c r="AD44" s="657"/>
      <c r="AE44" s="657"/>
      <c r="AF44" s="657"/>
      <c r="AG44" s="658"/>
      <c r="AK44" s="1">
        <f>331.37</f>
        <v>331.37</v>
      </c>
    </row>
    <row r="45" spans="1:37" ht="12.75">
      <c r="A45" s="673"/>
      <c r="B45" s="652"/>
      <c r="C45" s="673"/>
      <c r="D45" s="652"/>
      <c r="E45" s="652"/>
      <c r="F45" s="652"/>
      <c r="G45" s="652"/>
      <c r="H45" s="652"/>
      <c r="I45" s="652"/>
      <c r="J45" s="652"/>
      <c r="K45" s="652"/>
      <c r="L45" s="652"/>
      <c r="M45" s="652"/>
      <c r="N45" s="651"/>
      <c r="O45" s="651"/>
      <c r="P45" s="651"/>
      <c r="Q45" s="651"/>
      <c r="R45" s="652"/>
      <c r="S45" s="653"/>
      <c r="T45" s="654"/>
      <c r="U45" s="654"/>
      <c r="V45" s="654"/>
      <c r="W45" s="655"/>
      <c r="X45" s="653"/>
      <c r="Y45" s="654"/>
      <c r="Z45" s="654"/>
      <c r="AA45" s="654"/>
      <c r="AB45" s="655"/>
      <c r="AC45" s="656" t="str">
        <f t="shared" si="1"/>
        <v/>
      </c>
      <c r="AD45" s="657"/>
      <c r="AE45" s="657"/>
      <c r="AF45" s="657"/>
      <c r="AG45" s="658"/>
    </row>
    <row r="46" spans="1:37" ht="12.75">
      <c r="A46" s="18" t="s">
        <v>293</v>
      </c>
      <c r="B46" s="19"/>
      <c r="C46" s="660"/>
      <c r="D46" s="661"/>
      <c r="E46" s="661"/>
      <c r="F46" s="661"/>
      <c r="G46" s="661"/>
      <c r="H46" s="661"/>
      <c r="I46" s="661"/>
      <c r="J46" s="661"/>
      <c r="K46" s="661"/>
      <c r="L46" s="661"/>
      <c r="M46" s="662"/>
      <c r="N46" s="663">
        <f>SUM(N21:R45)</f>
        <v>911877.39</v>
      </c>
      <c r="O46" s="663"/>
      <c r="P46" s="663"/>
      <c r="Q46" s="663"/>
      <c r="R46" s="664"/>
      <c r="S46" s="663">
        <f>SUM(S20:W45)</f>
        <v>22518.25</v>
      </c>
      <c r="T46" s="663"/>
      <c r="U46" s="663"/>
      <c r="V46" s="663"/>
      <c r="W46" s="664"/>
      <c r="X46" s="663">
        <f>SUM(X20:AB45)</f>
        <v>0</v>
      </c>
      <c r="Y46" s="663"/>
      <c r="Z46" s="663"/>
      <c r="AA46" s="663"/>
      <c r="AB46" s="664"/>
      <c r="AC46" s="665">
        <f t="shared" si="1"/>
        <v>934395.64</v>
      </c>
      <c r="AD46" s="666"/>
      <c r="AE46" s="666"/>
      <c r="AF46" s="666"/>
      <c r="AG46" s="667"/>
    </row>
    <row r="47" spans="1:37" ht="12.75">
      <c r="A47" s="20" t="s">
        <v>295</v>
      </c>
      <c r="B47" s="21"/>
      <c r="C47" s="22"/>
      <c r="D47" s="21"/>
      <c r="E47" s="21"/>
      <c r="F47" s="21"/>
      <c r="G47" s="21"/>
      <c r="H47" s="21"/>
      <c r="I47" s="668"/>
      <c r="J47" s="669"/>
      <c r="K47" s="669"/>
      <c r="L47" s="669"/>
      <c r="M47" s="670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</row>
    <row r="48" spans="1:37">
      <c r="B48" s="14"/>
    </row>
    <row r="49" spans="1:39">
      <c r="A49" s="671" t="s">
        <v>448</v>
      </c>
      <c r="B49" s="671"/>
      <c r="C49" s="671"/>
      <c r="D49" s="671"/>
      <c r="E49" s="671"/>
      <c r="F49" s="671"/>
      <c r="G49" s="671"/>
      <c r="H49" s="671"/>
      <c r="I49" s="671"/>
      <c r="J49" s="671"/>
      <c r="K49" s="671"/>
      <c r="L49" s="671"/>
      <c r="M49" s="671"/>
      <c r="N49" s="671"/>
      <c r="O49" s="671"/>
      <c r="P49" s="1" t="s">
        <v>296</v>
      </c>
      <c r="Q49" s="672"/>
      <c r="R49" s="672"/>
      <c r="S49" s="1" t="s">
        <v>297</v>
      </c>
      <c r="T49" s="672"/>
      <c r="U49" s="672"/>
      <c r="V49" s="672"/>
      <c r="W49" s="672"/>
      <c r="X49" s="672"/>
      <c r="Y49" s="672"/>
      <c r="Z49" s="672"/>
      <c r="AA49" s="1" t="s">
        <v>297</v>
      </c>
      <c r="AB49" s="672">
        <v>2019</v>
      </c>
      <c r="AC49" s="672"/>
      <c r="AD49" s="672"/>
      <c r="AE49" s="672"/>
    </row>
    <row r="50" spans="1:39">
      <c r="A50" s="1" t="s">
        <v>298</v>
      </c>
    </row>
    <row r="52" spans="1:39">
      <c r="AI52" s="1">
        <v>221046</v>
      </c>
    </row>
    <row r="54" spans="1:39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9">
      <c r="A55" s="27" t="s">
        <v>300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T55" s="1" t="s">
        <v>301</v>
      </c>
      <c r="AM55" s="1" t="s">
        <v>299</v>
      </c>
    </row>
    <row r="56" spans="1:39">
      <c r="A56" s="111" t="s">
        <v>302</v>
      </c>
      <c r="B56" s="29"/>
      <c r="C56" s="659" t="s">
        <v>303</v>
      </c>
      <c r="D56" s="659"/>
      <c r="E56" s="659"/>
      <c r="F56" s="659"/>
      <c r="G56" s="659"/>
      <c r="H56" s="659"/>
      <c r="I56" s="659"/>
      <c r="J56" s="659"/>
      <c r="K56" s="659"/>
      <c r="L56" s="659"/>
      <c r="M56" s="659"/>
      <c r="N56" s="659"/>
      <c r="O56" s="30"/>
      <c r="P56" s="30"/>
      <c r="Q56" s="30"/>
      <c r="T56" s="111" t="s">
        <v>302</v>
      </c>
      <c r="U56" s="113"/>
      <c r="V56" s="659" t="s">
        <v>447</v>
      </c>
      <c r="W56" s="659"/>
      <c r="X56" s="659"/>
      <c r="Y56" s="659"/>
      <c r="Z56" s="659"/>
      <c r="AA56" s="659"/>
      <c r="AB56" s="659"/>
      <c r="AC56" s="659"/>
      <c r="AD56" s="659"/>
      <c r="AE56" s="659"/>
      <c r="AF56" s="659"/>
      <c r="AG56" s="659"/>
    </row>
    <row r="57" spans="1:39" ht="12" customHeight="1">
      <c r="A57" s="111" t="s">
        <v>304</v>
      </c>
      <c r="B57" s="31"/>
      <c r="C57" s="659" t="s">
        <v>305</v>
      </c>
      <c r="D57" s="659"/>
      <c r="E57" s="659"/>
      <c r="F57" s="659"/>
      <c r="G57" s="659"/>
      <c r="H57" s="659"/>
      <c r="I57" s="659"/>
      <c r="J57" s="659"/>
      <c r="K57" s="659"/>
      <c r="L57" s="659"/>
      <c r="M57" s="659"/>
      <c r="N57" s="659"/>
      <c r="O57" s="30"/>
      <c r="P57" s="30"/>
      <c r="Q57" s="30"/>
      <c r="R57" s="32"/>
      <c r="S57" s="32"/>
      <c r="T57" s="111" t="s">
        <v>304</v>
      </c>
      <c r="U57" s="29"/>
      <c r="V57" s="659" t="s">
        <v>308</v>
      </c>
      <c r="W57" s="659"/>
      <c r="X57" s="659"/>
      <c r="Y57" s="659"/>
      <c r="Z57" s="659"/>
      <c r="AA57" s="659"/>
      <c r="AB57" s="659"/>
      <c r="AC57" s="659"/>
      <c r="AD57" s="659"/>
      <c r="AE57" s="659"/>
      <c r="AF57" s="659"/>
      <c r="AG57" s="659"/>
      <c r="AH57" s="29"/>
    </row>
    <row r="58" spans="1:39" s="32" customFormat="1" ht="12" customHeight="1">
      <c r="A58" s="111" t="s">
        <v>306</v>
      </c>
      <c r="B58" s="112"/>
      <c r="C58" s="659" t="s">
        <v>307</v>
      </c>
      <c r="D58" s="659"/>
      <c r="E58" s="659"/>
      <c r="F58" s="659"/>
      <c r="G58" s="659"/>
      <c r="H58" s="659"/>
      <c r="I58" s="659"/>
      <c r="J58" s="659"/>
      <c r="K58" s="659"/>
      <c r="L58" s="659"/>
      <c r="M58" s="659"/>
      <c r="N58" s="659"/>
      <c r="O58" s="30"/>
      <c r="P58" s="30"/>
      <c r="Q58" s="30"/>
      <c r="T58" s="28"/>
      <c r="U58" s="29"/>
      <c r="V58" s="659"/>
      <c r="W58" s="659"/>
      <c r="X58" s="659"/>
      <c r="Y58" s="659"/>
      <c r="Z58" s="659"/>
      <c r="AA58" s="659"/>
      <c r="AB58" s="659"/>
      <c r="AC58" s="659"/>
      <c r="AD58" s="659"/>
      <c r="AE58" s="659"/>
      <c r="AF58" s="659"/>
      <c r="AG58" s="659"/>
      <c r="AH58" s="29"/>
    </row>
    <row r="59" spans="1:39" s="32" customFormat="1">
      <c r="AH59" s="29"/>
    </row>
    <row r="60" spans="1:39" s="32" customFormat="1"/>
    <row r="61" spans="1:39" s="32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</sheetData>
  <mergeCells count="176">
    <mergeCell ref="J2:AG2"/>
    <mergeCell ref="J3:AG3"/>
    <mergeCell ref="A8:AG8"/>
    <mergeCell ref="A12:AG12"/>
    <mergeCell ref="A20:B20"/>
    <mergeCell ref="C20:M20"/>
    <mergeCell ref="N20:R20"/>
    <mergeCell ref="S20:W20"/>
    <mergeCell ref="X20:AB20"/>
    <mergeCell ref="AC20:AG20"/>
    <mergeCell ref="A21:B21"/>
    <mergeCell ref="C21:M21"/>
    <mergeCell ref="N21:R21"/>
    <mergeCell ref="S21:W21"/>
    <mergeCell ref="X21:AB21"/>
    <mergeCell ref="AC21:AG21"/>
    <mergeCell ref="A22:B22"/>
    <mergeCell ref="C22:M22"/>
    <mergeCell ref="N22:R22"/>
    <mergeCell ref="S22:W22"/>
    <mergeCell ref="X22:AB22"/>
    <mergeCell ref="AC22:AG22"/>
    <mergeCell ref="A23:B23"/>
    <mergeCell ref="C23:M23"/>
    <mergeCell ref="N23:R23"/>
    <mergeCell ref="S23:W23"/>
    <mergeCell ref="X23:AB23"/>
    <mergeCell ref="AC23:AG23"/>
    <mergeCell ref="A24:B24"/>
    <mergeCell ref="C24:M24"/>
    <mergeCell ref="N24:R24"/>
    <mergeCell ref="S24:W24"/>
    <mergeCell ref="X24:AB24"/>
    <mergeCell ref="AC24:AG24"/>
    <mergeCell ref="A25:B25"/>
    <mergeCell ref="C25:M25"/>
    <mergeCell ref="N25:R25"/>
    <mergeCell ref="S25:W25"/>
    <mergeCell ref="X25:AB25"/>
    <mergeCell ref="AC25:AG25"/>
    <mergeCell ref="A26:B26"/>
    <mergeCell ref="C26:M26"/>
    <mergeCell ref="N26:R26"/>
    <mergeCell ref="S26:W26"/>
    <mergeCell ref="X26:AB26"/>
    <mergeCell ref="AC26:AG26"/>
    <mergeCell ref="A27:B27"/>
    <mergeCell ref="C27:M27"/>
    <mergeCell ref="N27:R27"/>
    <mergeCell ref="S27:W27"/>
    <mergeCell ref="X27:AB27"/>
    <mergeCell ref="AC27:AG27"/>
    <mergeCell ref="A28:B28"/>
    <mergeCell ref="C28:M28"/>
    <mergeCell ref="N28:R28"/>
    <mergeCell ref="S28:W28"/>
    <mergeCell ref="X28:AB28"/>
    <mergeCell ref="AC28:AG28"/>
    <mergeCell ref="A29:B29"/>
    <mergeCell ref="C29:M29"/>
    <mergeCell ref="N29:R29"/>
    <mergeCell ref="S29:W29"/>
    <mergeCell ref="X29:AB29"/>
    <mergeCell ref="AC29:AG29"/>
    <mergeCell ref="A30:B30"/>
    <mergeCell ref="C30:M30"/>
    <mergeCell ref="N30:R30"/>
    <mergeCell ref="S30:W30"/>
    <mergeCell ref="X30:AB30"/>
    <mergeCell ref="AC30:AG30"/>
    <mergeCell ref="A31:B31"/>
    <mergeCell ref="C31:M31"/>
    <mergeCell ref="N31:R31"/>
    <mergeCell ref="S31:W31"/>
    <mergeCell ref="X31:AB31"/>
    <mergeCell ref="AC31:AG31"/>
    <mergeCell ref="A32:B32"/>
    <mergeCell ref="C32:M32"/>
    <mergeCell ref="N32:R32"/>
    <mergeCell ref="S32:W32"/>
    <mergeCell ref="X32:AB32"/>
    <mergeCell ref="AC32:AG32"/>
    <mergeCell ref="A33:B33"/>
    <mergeCell ref="C33:M33"/>
    <mergeCell ref="N33:R33"/>
    <mergeCell ref="S33:W33"/>
    <mergeCell ref="X33:AB33"/>
    <mergeCell ref="AC33:AG33"/>
    <mergeCell ref="A34:B34"/>
    <mergeCell ref="C34:M34"/>
    <mergeCell ref="N34:R34"/>
    <mergeCell ref="S34:W34"/>
    <mergeCell ref="X34:AB34"/>
    <mergeCell ref="AC34:AG34"/>
    <mergeCell ref="A35:B35"/>
    <mergeCell ref="C35:M35"/>
    <mergeCell ref="N35:R35"/>
    <mergeCell ref="S35:W35"/>
    <mergeCell ref="X35:AB35"/>
    <mergeCell ref="AC35:AG35"/>
    <mergeCell ref="A36:B36"/>
    <mergeCell ref="C36:M36"/>
    <mergeCell ref="N36:R36"/>
    <mergeCell ref="S36:W36"/>
    <mergeCell ref="X36:AB36"/>
    <mergeCell ref="AC36:AG36"/>
    <mergeCell ref="A37:B37"/>
    <mergeCell ref="C37:M37"/>
    <mergeCell ref="N37:R37"/>
    <mergeCell ref="S37:W37"/>
    <mergeCell ref="X37:AB37"/>
    <mergeCell ref="AC37:AG37"/>
    <mergeCell ref="A38:B38"/>
    <mergeCell ref="C38:M38"/>
    <mergeCell ref="N38:R38"/>
    <mergeCell ref="S38:W38"/>
    <mergeCell ref="X38:AB38"/>
    <mergeCell ref="AC38:AG38"/>
    <mergeCell ref="A39:B39"/>
    <mergeCell ref="C39:M39"/>
    <mergeCell ref="N39:R39"/>
    <mergeCell ref="S39:W39"/>
    <mergeCell ref="X39:AB39"/>
    <mergeCell ref="AC39:AG39"/>
    <mergeCell ref="A40:B40"/>
    <mergeCell ref="C40:M40"/>
    <mergeCell ref="N40:R40"/>
    <mergeCell ref="S40:W40"/>
    <mergeCell ref="X40:AB40"/>
    <mergeCell ref="AC40:AG40"/>
    <mergeCell ref="A41:B41"/>
    <mergeCell ref="C41:M41"/>
    <mergeCell ref="N41:R41"/>
    <mergeCell ref="S41:W41"/>
    <mergeCell ref="X41:AB41"/>
    <mergeCell ref="AC41:AG41"/>
    <mergeCell ref="C56:N56"/>
    <mergeCell ref="V56:AG56"/>
    <mergeCell ref="C57:N57"/>
    <mergeCell ref="V57:AG57"/>
    <mergeCell ref="A44:B44"/>
    <mergeCell ref="C44:M44"/>
    <mergeCell ref="N44:R44"/>
    <mergeCell ref="S44:W44"/>
    <mergeCell ref="X44:AB44"/>
    <mergeCell ref="AC44:AG44"/>
    <mergeCell ref="A42:B42"/>
    <mergeCell ref="C42:M42"/>
    <mergeCell ref="N42:R42"/>
    <mergeCell ref="S42:W42"/>
    <mergeCell ref="X42:AB42"/>
    <mergeCell ref="AC42:AG42"/>
    <mergeCell ref="A43:B43"/>
    <mergeCell ref="C43:M43"/>
    <mergeCell ref="N43:R43"/>
    <mergeCell ref="S43:W43"/>
    <mergeCell ref="X43:AB43"/>
    <mergeCell ref="AC43:AG43"/>
    <mergeCell ref="C58:N58"/>
    <mergeCell ref="V58:AG58"/>
    <mergeCell ref="N45:R45"/>
    <mergeCell ref="S45:W45"/>
    <mergeCell ref="X45:AB45"/>
    <mergeCell ref="AC45:AG45"/>
    <mergeCell ref="C46:M46"/>
    <mergeCell ref="N46:R46"/>
    <mergeCell ref="S46:W46"/>
    <mergeCell ref="X46:AB46"/>
    <mergeCell ref="AC46:AG46"/>
    <mergeCell ref="I47:M47"/>
    <mergeCell ref="A49:O49"/>
    <mergeCell ref="Q49:R49"/>
    <mergeCell ref="T49:Z49"/>
    <mergeCell ref="AB49:AE49"/>
    <mergeCell ref="A45:B45"/>
    <mergeCell ref="C45:M45"/>
  </mergeCells>
  <pageMargins left="0.25" right="0.25" top="0.75" bottom="0.75" header="0.3" footer="0.3"/>
  <pageSetup paperSize="9" scale="90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3">
    <tabColor rgb="FF00B050"/>
  </sheetPr>
  <dimension ref="B1:AG57"/>
  <sheetViews>
    <sheetView view="pageBreakPreview" topLeftCell="A41" zoomScale="85" zoomScaleSheetLayoutView="85" workbookViewId="0">
      <selection activeCell="I56" sqref="I56"/>
    </sheetView>
  </sheetViews>
  <sheetFormatPr defaultColWidth="9.140625" defaultRowHeight="14.25"/>
  <cols>
    <col min="1" max="1" width="2.28515625" style="157" customWidth="1"/>
    <col min="2" max="2" width="13.42578125" style="234" customWidth="1"/>
    <col min="3" max="3" width="11.85546875" style="234" customWidth="1"/>
    <col min="4" max="4" width="7.85546875" style="234" customWidth="1"/>
    <col min="5" max="5" width="63.5703125" style="157" customWidth="1"/>
    <col min="6" max="6" width="10.28515625" style="234" customWidth="1"/>
    <col min="7" max="7" width="9.85546875" style="235" bestFit="1" customWidth="1"/>
    <col min="8" max="8" width="9.140625" style="235"/>
    <col min="9" max="9" width="10.28515625" style="235" customWidth="1"/>
    <col min="10" max="10" width="8.28515625" style="157" customWidth="1"/>
    <col min="11" max="11" width="9.140625" style="160"/>
    <col min="12" max="16384" width="9.140625" style="157"/>
  </cols>
  <sheetData>
    <row r="1" spans="2:11" s="153" customFormat="1" ht="24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233"/>
      <c r="F8" s="233"/>
      <c r="G8" s="233"/>
      <c r="H8" s="233"/>
      <c r="I8" s="233"/>
    </row>
    <row r="9" spans="2:1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8" customHeight="1">
      <c r="B11" s="158" t="s">
        <v>121</v>
      </c>
      <c r="C11" s="159" t="s">
        <v>378</v>
      </c>
      <c r="D11" s="194"/>
      <c r="E11" s="194"/>
      <c r="F11" s="194"/>
      <c r="G11" s="194"/>
      <c r="H11" s="194"/>
      <c r="I11" s="194"/>
    </row>
    <row r="12" spans="2:11" ht="15">
      <c r="B12" s="158" t="s">
        <v>122</v>
      </c>
      <c r="C12" s="515" t="s">
        <v>375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1'!A2</f>
        <v>Rua do Tambor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ht="30" customHeight="1">
      <c r="B15" s="521" t="s">
        <v>125</v>
      </c>
      <c r="C15" s="521"/>
      <c r="D15" s="522" t="s">
        <v>376</v>
      </c>
      <c r="E15" s="522"/>
      <c r="F15" s="522"/>
      <c r="G15" s="522"/>
      <c r="H15" s="235" t="s">
        <v>126</v>
      </c>
      <c r="I15" s="237">
        <f>BDI!B14</f>
        <v>0.2203</v>
      </c>
    </row>
    <row r="17" spans="2:11" ht="15">
      <c r="B17" s="518" t="s">
        <v>127</v>
      </c>
      <c r="C17" s="518" t="s">
        <v>52</v>
      </c>
      <c r="D17" s="518" t="s">
        <v>46</v>
      </c>
      <c r="E17" s="518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1" ht="15">
      <c r="B18" s="518"/>
      <c r="C18" s="518"/>
      <c r="D18" s="518"/>
      <c r="E18" s="518"/>
      <c r="F18" s="518"/>
      <c r="G18" s="519"/>
      <c r="H18" s="239" t="s">
        <v>132</v>
      </c>
      <c r="I18" s="239" t="s">
        <v>133</v>
      </c>
    </row>
    <row r="20" spans="2:11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4236.75</v>
      </c>
    </row>
    <row r="21" spans="2:11">
      <c r="B21" s="176" t="s">
        <v>136</v>
      </c>
      <c r="C21" s="176" t="s">
        <v>137</v>
      </c>
      <c r="D21" s="176" t="s">
        <v>138</v>
      </c>
      <c r="E21" s="360" t="s">
        <v>139</v>
      </c>
      <c r="F21" s="176" t="s">
        <v>85</v>
      </c>
      <c r="G21" s="361">
        <f>'MEMORIAL 1'!J10</f>
        <v>10</v>
      </c>
      <c r="H21" s="361">
        <f>ROUND(K21+(K21*$I$15),2)</f>
        <v>381.08</v>
      </c>
      <c r="I21" s="361">
        <f>ROUND(G21*H21,2)</f>
        <v>3810.8</v>
      </c>
      <c r="K21" s="160">
        <v>312.27999999999997</v>
      </c>
    </row>
    <row r="22" spans="2:11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1'!C23</f>
        <v>625.79</v>
      </c>
      <c r="H22" s="361">
        <f>ROUND(K22+(K22*$I$15),2)</f>
        <v>0.35</v>
      </c>
      <c r="I22" s="361">
        <f>ROUND(G22*H22,2)</f>
        <v>219.03</v>
      </c>
      <c r="K22" s="160">
        <v>0.28999999999999998</v>
      </c>
    </row>
    <row r="23" spans="2:11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1'!B30</f>
        <v>2</v>
      </c>
      <c r="H23" s="361">
        <f>ROUND(K23+(K23*$I$15),2)</f>
        <v>103.46</v>
      </c>
      <c r="I23" s="361">
        <f>ROUND(G23*H23,2)</f>
        <v>206.92</v>
      </c>
      <c r="K23" s="160">
        <v>84.78</v>
      </c>
    </row>
    <row r="24" spans="2:11">
      <c r="B24" s="524"/>
      <c r="C24" s="524"/>
      <c r="D24" s="524"/>
      <c r="E24" s="524"/>
      <c r="F24" s="524"/>
      <c r="G24" s="524"/>
      <c r="H24" s="524"/>
      <c r="I24" s="524"/>
    </row>
    <row r="26" spans="2:11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52123.91</v>
      </c>
    </row>
    <row r="27" spans="2:11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1'!C45</f>
        <v>625.79</v>
      </c>
      <c r="H27" s="361">
        <f>ROUND(K27+(K27*$I$15),2)</f>
        <v>1.43</v>
      </c>
      <c r="I27" s="361">
        <f t="shared" ref="I27:I35" si="0">ROUND(G27*H27,2)</f>
        <v>894.88</v>
      </c>
      <c r="K27" s="160">
        <v>1.17</v>
      </c>
    </row>
    <row r="28" spans="2:11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'MEMORIAL 1'!C57</f>
        <v>625.79</v>
      </c>
      <c r="H28" s="361">
        <f>ROUND(K28+(K28*$I$15),2)</f>
        <v>50.13</v>
      </c>
      <c r="I28" s="361">
        <f t="shared" si="0"/>
        <v>31370.85</v>
      </c>
      <c r="K28" s="160">
        <v>41.08</v>
      </c>
    </row>
    <row r="29" spans="2:11">
      <c r="B29" s="176" t="s">
        <v>149</v>
      </c>
      <c r="C29" s="176" t="s">
        <v>150</v>
      </c>
      <c r="D29" s="176" t="s">
        <v>151</v>
      </c>
      <c r="E29" s="362" t="s">
        <v>369</v>
      </c>
      <c r="F29" s="242" t="s">
        <v>148</v>
      </c>
      <c r="G29" s="363">
        <f>'MEMORIAL 1'!F68</f>
        <v>182.93</v>
      </c>
      <c r="H29" s="363">
        <f t="shared" ref="H29:H35" si="1">ROUND(K29+(K29*$I$15),2)</f>
        <v>15.49</v>
      </c>
      <c r="I29" s="363">
        <f t="shared" si="0"/>
        <v>2833.59</v>
      </c>
      <c r="K29" s="160">
        <v>12.69</v>
      </c>
    </row>
    <row r="30" spans="2:11" ht="28.5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1'!B75</f>
        <v>14</v>
      </c>
      <c r="H30" s="361">
        <f>ROUND(K30+(K30*$I$15),2)</f>
        <v>15.49</v>
      </c>
      <c r="I30" s="361">
        <f>ROUND(G30*H30,2)</f>
        <v>216.86</v>
      </c>
      <c r="K30" s="160">
        <v>12.69</v>
      </c>
    </row>
    <row r="31" spans="2:11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1'!N90</f>
        <v>162.83000000000001</v>
      </c>
      <c r="H31" s="361">
        <f>ROUND(K31+(K31*$I$15),2)</f>
        <v>61.73</v>
      </c>
      <c r="I31" s="361">
        <f>ROUND(G31*H31,2)</f>
        <v>10051.5</v>
      </c>
      <c r="K31" s="160">
        <v>50.59</v>
      </c>
    </row>
    <row r="32" spans="2:11" ht="42.75">
      <c r="B32" s="176" t="s">
        <v>145</v>
      </c>
      <c r="C32" s="380" t="s">
        <v>362</v>
      </c>
      <c r="D32" s="176" t="s">
        <v>157</v>
      </c>
      <c r="E32" s="360" t="s">
        <v>413</v>
      </c>
      <c r="F32" s="176" t="s">
        <v>102</v>
      </c>
      <c r="G32" s="361">
        <f>ROUND('MEMORIAL 1'!B96,2)</f>
        <v>4</v>
      </c>
      <c r="H32" s="361">
        <f t="shared" si="1"/>
        <v>871.48</v>
      </c>
      <c r="I32" s="361">
        <f t="shared" si="0"/>
        <v>3485.92</v>
      </c>
      <c r="K32" s="160">
        <f>COMP!K163</f>
        <v>714.15</v>
      </c>
    </row>
    <row r="33" spans="2:33" ht="57">
      <c r="B33" s="176" t="s">
        <v>145</v>
      </c>
      <c r="C33" s="380" t="s">
        <v>421</v>
      </c>
      <c r="D33" s="176" t="s">
        <v>159</v>
      </c>
      <c r="E33" s="360" t="s">
        <v>105</v>
      </c>
      <c r="F33" s="176" t="s">
        <v>85</v>
      </c>
      <c r="G33" s="361">
        <f>'MEMORIAL 1'!C116</f>
        <v>38.229999999999997</v>
      </c>
      <c r="H33" s="361">
        <f>ROUND(K33+(K33*$I$15),2)</f>
        <v>82.39</v>
      </c>
      <c r="I33" s="361">
        <f>ROUND(G33*H33,2)</f>
        <v>3149.77</v>
      </c>
      <c r="K33" s="160">
        <f>COMP!K439</f>
        <v>67.52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1'!B123,2)</f>
        <v>54.88</v>
      </c>
      <c r="H34" s="361">
        <f t="shared" si="1"/>
        <v>1.04</v>
      </c>
      <c r="I34" s="361">
        <f t="shared" si="0"/>
        <v>57.08</v>
      </c>
      <c r="K34" s="160">
        <v>0.85</v>
      </c>
    </row>
    <row r="35" spans="2:33" ht="42.75">
      <c r="B35" s="176" t="s">
        <v>161</v>
      </c>
      <c r="C35" s="364" t="s">
        <v>524</v>
      </c>
      <c r="D35" s="176" t="s">
        <v>365</v>
      </c>
      <c r="E35" s="362" t="s">
        <v>164</v>
      </c>
      <c r="F35" s="242" t="s">
        <v>85</v>
      </c>
      <c r="G35" s="361">
        <f>ROUND('MEMORIAL 1'!C138,2)</f>
        <v>0.2</v>
      </c>
      <c r="H35" s="361">
        <f t="shared" si="1"/>
        <v>317.27999999999997</v>
      </c>
      <c r="I35" s="361">
        <f t="shared" si="0"/>
        <v>63.46</v>
      </c>
      <c r="K35" s="160">
        <v>260</v>
      </c>
    </row>
    <row r="36" spans="2:33">
      <c r="B36" s="524"/>
      <c r="C36" s="524"/>
      <c r="D36" s="524"/>
      <c r="E36" s="524"/>
      <c r="F36" s="524"/>
      <c r="G36" s="524"/>
      <c r="H36" s="524"/>
      <c r="I36" s="524"/>
    </row>
    <row r="38" spans="2:33" s="197" customFormat="1" ht="15">
      <c r="B38" s="238" t="s">
        <v>127</v>
      </c>
      <c r="C38" s="238" t="s">
        <v>52</v>
      </c>
      <c r="D38" s="238" t="s">
        <v>165</v>
      </c>
      <c r="E38" s="523" t="s">
        <v>309</v>
      </c>
      <c r="F38" s="523"/>
      <c r="G38" s="523"/>
      <c r="H38" s="523"/>
      <c r="I38" s="239">
        <f>SUM(I39:I47)</f>
        <v>8751.44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 s="197" customFormat="1">
      <c r="B39" s="376" t="s">
        <v>136</v>
      </c>
      <c r="C39" s="376">
        <v>73610</v>
      </c>
      <c r="D39" s="376" t="s">
        <v>167</v>
      </c>
      <c r="E39" s="377" t="s">
        <v>256</v>
      </c>
      <c r="F39" s="376" t="s">
        <v>148</v>
      </c>
      <c r="G39" s="378">
        <f>'MEMORIAL 1'!C148</f>
        <v>22</v>
      </c>
      <c r="H39" s="378">
        <f>ROUND(K39+(K39*$I$15),2)</f>
        <v>1.06</v>
      </c>
      <c r="I39" s="378">
        <f>ROUNDDOWN(G39*H39,2)</f>
        <v>23.32</v>
      </c>
      <c r="K39" s="210">
        <v>0.87</v>
      </c>
      <c r="L39" s="20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40"/>
      <c r="AD39" s="224"/>
      <c r="AE39" s="224"/>
      <c r="AF39" s="240"/>
      <c r="AG39" s="240"/>
    </row>
    <row r="40" spans="2:33" s="197" customFormat="1" ht="64.150000000000006" customHeight="1">
      <c r="B40" s="176" t="s">
        <v>136</v>
      </c>
      <c r="C40" s="176">
        <v>90092</v>
      </c>
      <c r="D40" s="176" t="s">
        <v>310</v>
      </c>
      <c r="E40" s="177" t="s">
        <v>311</v>
      </c>
      <c r="F40" s="176" t="s">
        <v>58</v>
      </c>
      <c r="G40" s="241">
        <f>'MEMORIAL 1'!C158</f>
        <v>50.63</v>
      </c>
      <c r="H40" s="241">
        <f t="shared" ref="H40:H47" si="2">ROUND(K40+(K40*$I$15),2)</f>
        <v>4.92</v>
      </c>
      <c r="I40" s="241">
        <f>ROUND(G40*H40,2)</f>
        <v>249.1</v>
      </c>
      <c r="K40" s="210">
        <v>4.03</v>
      </c>
      <c r="L40" s="20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40"/>
      <c r="AD40" s="224"/>
      <c r="AE40" s="224"/>
      <c r="AF40" s="240"/>
      <c r="AG40" s="240"/>
    </row>
    <row r="41" spans="2:33" s="197" customFormat="1" ht="42.75">
      <c r="B41" s="176" t="s">
        <v>136</v>
      </c>
      <c r="C41" s="176">
        <v>94045</v>
      </c>
      <c r="D41" s="176" t="s">
        <v>312</v>
      </c>
      <c r="E41" s="177" t="s">
        <v>314</v>
      </c>
      <c r="F41" s="176" t="s">
        <v>85</v>
      </c>
      <c r="G41" s="241">
        <f>'MEMORIAL 1'!C166</f>
        <v>67.5</v>
      </c>
      <c r="H41" s="241">
        <f t="shared" si="2"/>
        <v>12.48</v>
      </c>
      <c r="I41" s="241">
        <f>ROUND(G41*H41,2)</f>
        <v>842.4</v>
      </c>
      <c r="K41" s="210">
        <v>10.23</v>
      </c>
      <c r="L41" s="204"/>
      <c r="M41" s="210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40"/>
      <c r="AD41" s="224"/>
      <c r="AE41" s="224"/>
      <c r="AF41" s="240"/>
      <c r="AG41" s="240"/>
    </row>
    <row r="42" spans="2:33" s="197" customFormat="1">
      <c r="B42" s="176" t="s">
        <v>315</v>
      </c>
      <c r="C42" s="380" t="s">
        <v>363</v>
      </c>
      <c r="D42" s="176" t="s">
        <v>313</v>
      </c>
      <c r="E42" s="177" t="s">
        <v>95</v>
      </c>
      <c r="F42" s="176" t="s">
        <v>58</v>
      </c>
      <c r="G42" s="241">
        <f>'MEMORIAL 1'!C175</f>
        <v>4.95</v>
      </c>
      <c r="H42" s="241">
        <f t="shared" si="2"/>
        <v>96.6</v>
      </c>
      <c r="I42" s="241">
        <f t="shared" ref="I42:I47" si="3">ROUND(G42*H42,2)</f>
        <v>478.17</v>
      </c>
      <c r="K42" s="210">
        <f>COMP!K262</f>
        <v>79.16</v>
      </c>
      <c r="L42" s="20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40"/>
      <c r="AD42" s="224"/>
      <c r="AE42" s="224"/>
      <c r="AF42" s="240"/>
      <c r="AG42" s="240"/>
    </row>
    <row r="43" spans="2:33" s="197" customFormat="1" ht="42.75">
      <c r="B43" s="242" t="s">
        <v>136</v>
      </c>
      <c r="C43" s="242">
        <v>92212</v>
      </c>
      <c r="D43" s="176" t="s">
        <v>316</v>
      </c>
      <c r="E43" s="177" t="s">
        <v>353</v>
      </c>
      <c r="F43" s="176" t="s">
        <v>148</v>
      </c>
      <c r="G43" s="241">
        <f>'MEMORIAL 1'!C183</f>
        <v>22</v>
      </c>
      <c r="H43" s="241">
        <f t="shared" si="2"/>
        <v>156.25</v>
      </c>
      <c r="I43" s="241">
        <f t="shared" si="3"/>
        <v>3437.5</v>
      </c>
      <c r="K43" s="210">
        <v>128.04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40"/>
      <c r="AD43" s="224"/>
      <c r="AE43" s="224"/>
      <c r="AF43" s="240"/>
      <c r="AG43" s="240"/>
    </row>
    <row r="44" spans="2:33" s="197" customFormat="1" ht="61.9" customHeight="1">
      <c r="B44" s="176" t="s">
        <v>136</v>
      </c>
      <c r="C44" s="176">
        <v>93360</v>
      </c>
      <c r="D44" s="176" t="s">
        <v>317</v>
      </c>
      <c r="E44" s="177" t="s">
        <v>319</v>
      </c>
      <c r="F44" s="176" t="s">
        <v>58</v>
      </c>
      <c r="G44" s="241">
        <f>'MEMORIAL 1'!B203</f>
        <v>35.86</v>
      </c>
      <c r="H44" s="241">
        <f t="shared" si="2"/>
        <v>15.07</v>
      </c>
      <c r="I44" s="241">
        <f t="shared" si="3"/>
        <v>540.41</v>
      </c>
      <c r="K44" s="210">
        <v>12.35</v>
      </c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40"/>
      <c r="AD44" s="224"/>
      <c r="AE44" s="224"/>
      <c r="AF44" s="240"/>
      <c r="AG44" s="240"/>
    </row>
    <row r="45" spans="2:33" s="197" customFormat="1" ht="42.75">
      <c r="B45" s="176" t="s">
        <v>136</v>
      </c>
      <c r="C45" s="242">
        <v>83659</v>
      </c>
      <c r="D45" s="176" t="s">
        <v>318</v>
      </c>
      <c r="E45" s="177" t="s">
        <v>322</v>
      </c>
      <c r="F45" s="176" t="s">
        <v>102</v>
      </c>
      <c r="G45" s="241">
        <f>'MEMORIAL 1'!B209</f>
        <v>2</v>
      </c>
      <c r="H45" s="241">
        <f t="shared" si="2"/>
        <v>709.47</v>
      </c>
      <c r="I45" s="241">
        <f t="shared" si="3"/>
        <v>1418.94</v>
      </c>
      <c r="K45" s="210">
        <v>581.39</v>
      </c>
      <c r="L45" s="20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40"/>
      <c r="AD45" s="224"/>
      <c r="AE45" s="224"/>
      <c r="AF45" s="240"/>
      <c r="AG45" s="240"/>
    </row>
    <row r="46" spans="2:33" s="197" customFormat="1" ht="28.5">
      <c r="B46" s="176" t="s">
        <v>315</v>
      </c>
      <c r="C46" s="381" t="s">
        <v>361</v>
      </c>
      <c r="D46" s="176" t="s">
        <v>320</v>
      </c>
      <c r="E46" s="177" t="s">
        <v>324</v>
      </c>
      <c r="F46" s="176" t="s">
        <v>102</v>
      </c>
      <c r="G46" s="241">
        <f>'MEMORIAL 1'!B215</f>
        <v>2</v>
      </c>
      <c r="H46" s="241">
        <f t="shared" si="2"/>
        <v>374.95</v>
      </c>
      <c r="I46" s="241">
        <f t="shared" si="3"/>
        <v>749.9</v>
      </c>
      <c r="K46" s="210">
        <f>COMP!K351</f>
        <v>307.26</v>
      </c>
      <c r="L46" s="20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40"/>
      <c r="AD46" s="224"/>
      <c r="AE46" s="224"/>
      <c r="AF46" s="240"/>
      <c r="AG46" s="240"/>
    </row>
    <row r="47" spans="2:33" s="197" customFormat="1" ht="42.75">
      <c r="B47" s="176" t="s">
        <v>136</v>
      </c>
      <c r="C47" s="176" t="s">
        <v>326</v>
      </c>
      <c r="D47" s="176" t="s">
        <v>321</v>
      </c>
      <c r="E47" s="177" t="s">
        <v>327</v>
      </c>
      <c r="F47" s="176" t="s">
        <v>102</v>
      </c>
      <c r="G47" s="241">
        <f>'MEMORIAL 1'!B221</f>
        <v>1</v>
      </c>
      <c r="H47" s="241">
        <f t="shared" si="2"/>
        <v>1011.7</v>
      </c>
      <c r="I47" s="241">
        <f t="shared" si="3"/>
        <v>1011.7</v>
      </c>
      <c r="K47" s="210">
        <v>829.06</v>
      </c>
      <c r="L47" s="20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40"/>
      <c r="AD47" s="224"/>
      <c r="AE47" s="224"/>
      <c r="AF47" s="240"/>
      <c r="AG47" s="240"/>
    </row>
    <row r="48" spans="2:33" s="197" customFormat="1">
      <c r="B48" s="366"/>
      <c r="C48" s="366"/>
      <c r="D48" s="366"/>
      <c r="E48" s="367"/>
      <c r="F48" s="366"/>
      <c r="G48" s="368"/>
      <c r="H48" s="368"/>
      <c r="I48" s="368"/>
      <c r="K48" s="210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40"/>
      <c r="AA48" s="240"/>
      <c r="AB48" s="224"/>
      <c r="AC48" s="240"/>
      <c r="AD48" s="240"/>
      <c r="AE48" s="240"/>
      <c r="AF48" s="240"/>
      <c r="AG48" s="240"/>
    </row>
    <row r="49" spans="2:33" customFormat="1" ht="15">
      <c r="B49" s="371"/>
      <c r="C49" s="371"/>
      <c r="D49" s="371"/>
      <c r="E49" s="371"/>
      <c r="F49" s="371"/>
      <c r="G49" s="371"/>
      <c r="H49" s="371"/>
      <c r="I49" s="371"/>
    </row>
    <row r="50" spans="2:33" s="197" customFormat="1" ht="15">
      <c r="B50" s="238" t="s">
        <v>127</v>
      </c>
      <c r="C50" s="238" t="s">
        <v>52</v>
      </c>
      <c r="D50" s="238" t="s">
        <v>356</v>
      </c>
      <c r="E50" s="523" t="s">
        <v>166</v>
      </c>
      <c r="F50" s="523"/>
      <c r="G50" s="523"/>
      <c r="H50" s="523"/>
      <c r="I50" s="239">
        <f>SUM(I51)</f>
        <v>244.06</v>
      </c>
      <c r="K50" s="204"/>
      <c r="L50" s="20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40"/>
      <c r="AD50" s="224"/>
      <c r="AE50" s="224"/>
      <c r="AF50" s="240"/>
      <c r="AG50" s="240"/>
    </row>
    <row r="51" spans="2:33">
      <c r="B51" s="176" t="s">
        <v>158</v>
      </c>
      <c r="C51" s="176">
        <v>84523</v>
      </c>
      <c r="D51" s="176" t="s">
        <v>357</v>
      </c>
      <c r="E51" s="243" t="s">
        <v>168</v>
      </c>
      <c r="F51" s="176" t="s">
        <v>85</v>
      </c>
      <c r="G51" s="176">
        <f>'MEMORIAL 1'!B229</f>
        <v>625.79</v>
      </c>
      <c r="H51" s="244">
        <f>ROUND(K51+(K51*$I$15),2)</f>
        <v>0.39</v>
      </c>
      <c r="I51" s="382">
        <f>ROUND(G51*H51,2)</f>
        <v>244.06</v>
      </c>
      <c r="K51" s="160">
        <v>0.32</v>
      </c>
    </row>
    <row r="52" spans="2:33">
      <c r="B52" s="524"/>
      <c r="C52" s="524"/>
      <c r="D52" s="524"/>
      <c r="E52" s="524"/>
      <c r="F52" s="524"/>
      <c r="G52" s="524"/>
      <c r="H52" s="524"/>
      <c r="I52" s="524"/>
    </row>
    <row r="54" spans="2:33">
      <c r="B54" s="518" t="s">
        <v>133</v>
      </c>
      <c r="C54" s="518"/>
      <c r="D54" s="518"/>
      <c r="E54" s="518"/>
      <c r="F54" s="518"/>
      <c r="G54" s="518"/>
      <c r="H54" s="518"/>
      <c r="I54" s="519">
        <f>I26+I20+I50+I38-0.01</f>
        <v>65356.15</v>
      </c>
    </row>
    <row r="55" spans="2:33">
      <c r="B55" s="518"/>
      <c r="C55" s="518"/>
      <c r="D55" s="518"/>
      <c r="E55" s="518"/>
      <c r="F55" s="518"/>
      <c r="G55" s="518"/>
      <c r="H55" s="518"/>
      <c r="I55" s="519"/>
    </row>
    <row r="57" spans="2:33">
      <c r="G57" s="235" t="s">
        <v>407</v>
      </c>
      <c r="H57" s="235">
        <f>(I54/(SUM('MEMORIAL 1'!AK51:AM51)*'MEMORIAL 1'!AJ51))</f>
        <v>71.599999999999994</v>
      </c>
    </row>
  </sheetData>
  <mergeCells count="29">
    <mergeCell ref="B54:H55"/>
    <mergeCell ref="I54:I55"/>
    <mergeCell ref="E20:H20"/>
    <mergeCell ref="B24:I24"/>
    <mergeCell ref="E26:H26"/>
    <mergeCell ref="B36:I36"/>
    <mergeCell ref="E50:H50"/>
    <mergeCell ref="B52:I52"/>
    <mergeCell ref="E38:H38"/>
    <mergeCell ref="C13:I13"/>
    <mergeCell ref="B17:B18"/>
    <mergeCell ref="C17:C18"/>
    <mergeCell ref="D17:D18"/>
    <mergeCell ref="E17:E18"/>
    <mergeCell ref="F17:F18"/>
    <mergeCell ref="G17:G18"/>
    <mergeCell ref="H17:I17"/>
    <mergeCell ref="B15:C15"/>
    <mergeCell ref="D15:G15"/>
    <mergeCell ref="B1:I1"/>
    <mergeCell ref="B2:I2"/>
    <mergeCell ref="B3:I3"/>
    <mergeCell ref="C12:I12"/>
    <mergeCell ref="B10:I10"/>
    <mergeCell ref="B4:I4"/>
    <mergeCell ref="B5:I5"/>
    <mergeCell ref="B6:I6"/>
    <mergeCell ref="B7:I7"/>
    <mergeCell ref="B9:I9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6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4"/>
  <dimension ref="A2:BU229"/>
  <sheetViews>
    <sheetView view="pageBreakPreview" topLeftCell="A185" zoomScale="85" zoomScaleSheetLayoutView="85" workbookViewId="0">
      <selection activeCell="N199" sqref="N199:O199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8" width="3.7109375" style="200" customWidth="1"/>
    <col min="9" max="9" width="5.28515625" style="200" customWidth="1"/>
    <col min="10" max="13" width="3.7109375" style="200" customWidth="1"/>
    <col min="14" max="15" width="3.7109375" style="199" customWidth="1"/>
    <col min="16" max="18" width="3.7109375" style="200" customWidth="1"/>
    <col min="19" max="19" width="3.7109375" style="199" customWidth="1"/>
    <col min="20" max="34" width="3.71093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377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35" t="s">
        <v>171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2.5</v>
      </c>
      <c r="C10" s="543"/>
      <c r="D10" s="199" t="s">
        <v>148</v>
      </c>
      <c r="E10" s="198" t="s">
        <v>175</v>
      </c>
      <c r="F10" s="543">
        <f>AK10</f>
        <v>4</v>
      </c>
      <c r="G10" s="543"/>
      <c r="H10" s="199" t="s">
        <v>148</v>
      </c>
      <c r="I10" s="198" t="s">
        <v>176</v>
      </c>
      <c r="J10" s="543">
        <f>B10*F10</f>
        <v>10</v>
      </c>
      <c r="K10" s="543"/>
      <c r="L10" s="199" t="s">
        <v>85</v>
      </c>
      <c r="N10" s="198"/>
      <c r="O10" s="198"/>
      <c r="AJ10" s="201">
        <v>2.5</v>
      </c>
      <c r="AK10" s="201">
        <v>4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AJ51</f>
        <v>94.1</v>
      </c>
      <c r="C16" s="530"/>
      <c r="D16" s="200" t="s">
        <v>148</v>
      </c>
      <c r="E16" s="214" t="s">
        <v>175</v>
      </c>
      <c r="F16" s="205"/>
      <c r="G16" s="543">
        <f>AK51</f>
        <v>7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2">
      <c r="A17" s="200" t="s">
        <v>443</v>
      </c>
      <c r="B17" s="199"/>
      <c r="E17" s="527">
        <v>7.69</v>
      </c>
      <c r="F17" s="527"/>
      <c r="G17" s="199" t="s">
        <v>85</v>
      </c>
      <c r="H17" s="199"/>
      <c r="J17" s="214"/>
      <c r="K17" s="199"/>
      <c r="L17" s="199"/>
      <c r="N17" s="198"/>
      <c r="P17" s="199"/>
      <c r="AJ17" s="201"/>
      <c r="AK17" s="201"/>
      <c r="AL17" s="201"/>
      <c r="AM17" s="201"/>
      <c r="AN17" s="203"/>
    </row>
    <row r="18" spans="1:42">
      <c r="B18" s="204"/>
      <c r="C18" s="204"/>
      <c r="D18" s="204"/>
      <c r="E18" s="206"/>
      <c r="AJ18" s="201"/>
      <c r="AK18" s="202"/>
      <c r="AL18" s="202"/>
      <c r="AM18" s="203"/>
      <c r="AN18" s="203"/>
    </row>
    <row r="19" spans="1:42">
      <c r="A19" s="200" t="s">
        <v>185</v>
      </c>
      <c r="B19" s="204"/>
      <c r="C19" s="525">
        <f>B16*G16+E17</f>
        <v>666.39</v>
      </c>
      <c r="D19" s="525"/>
      <c r="E19" s="206" t="s">
        <v>85</v>
      </c>
      <c r="AJ19" s="201"/>
      <c r="AK19" s="202"/>
      <c r="AL19" s="202"/>
      <c r="AM19" s="203"/>
      <c r="AN19" s="203"/>
    </row>
    <row r="20" spans="1:42">
      <c r="A20" s="200" t="s">
        <v>199</v>
      </c>
      <c r="B20" s="204"/>
      <c r="C20" s="204"/>
      <c r="D20" s="204"/>
      <c r="E20" s="206"/>
      <c r="AJ20" s="201"/>
      <c r="AK20" s="202">
        <f>315.62+310.17</f>
        <v>625.79</v>
      </c>
      <c r="AL20" s="202"/>
      <c r="AM20" s="203"/>
      <c r="AN20" s="203"/>
    </row>
    <row r="21" spans="1:42">
      <c r="A21" s="200" t="s">
        <v>406</v>
      </c>
      <c r="B21" s="204"/>
      <c r="C21" s="204"/>
      <c r="D21" s="204"/>
      <c r="E21" s="206"/>
      <c r="F21" s="527">
        <f>5.8*7</f>
        <v>40.6</v>
      </c>
      <c r="G21" s="527"/>
      <c r="H21" s="200" t="s">
        <v>85</v>
      </c>
      <c r="AJ21" s="201"/>
      <c r="AK21" s="202"/>
      <c r="AL21" s="202"/>
      <c r="AM21" s="203"/>
      <c r="AN21" s="203"/>
    </row>
    <row r="22" spans="1:42">
      <c r="B22" s="204"/>
      <c r="C22" s="204"/>
      <c r="D22" s="204"/>
      <c r="E22" s="206"/>
      <c r="AJ22" s="201"/>
      <c r="AK22" s="202"/>
      <c r="AL22" s="202"/>
      <c r="AM22" s="203"/>
      <c r="AN22" s="203"/>
    </row>
    <row r="23" spans="1:42">
      <c r="A23" s="200" t="s">
        <v>185</v>
      </c>
      <c r="B23" s="204"/>
      <c r="C23" s="525">
        <f>C19-F21</f>
        <v>625.79</v>
      </c>
      <c r="D23" s="525"/>
      <c r="E23" s="206" t="s">
        <v>85</v>
      </c>
      <c r="AJ23" s="201"/>
      <c r="AK23" s="202"/>
      <c r="AL23" s="202"/>
      <c r="AM23" s="203"/>
      <c r="AN23" s="203"/>
    </row>
    <row r="24" spans="1:42">
      <c r="F24" s="216"/>
      <c r="G24" s="216"/>
      <c r="N24" s="200"/>
      <c r="O24" s="200"/>
      <c r="S24" s="200"/>
      <c r="AJ24" s="201"/>
      <c r="AK24" s="202"/>
      <c r="AL24" s="202"/>
      <c r="AM24" s="203"/>
      <c r="AN24" s="203"/>
    </row>
    <row r="25" spans="1:42">
      <c r="F25" s="216"/>
      <c r="G25" s="216"/>
      <c r="N25" s="200"/>
      <c r="O25" s="200"/>
      <c r="S25" s="200"/>
      <c r="AJ25" s="201"/>
      <c r="AK25" s="202"/>
      <c r="AL25" s="202"/>
      <c r="AM25" s="203"/>
      <c r="AN25" s="203"/>
    </row>
    <row r="26" spans="1:42" ht="15">
      <c r="A26" s="542" t="s">
        <v>177</v>
      </c>
      <c r="B26" s="542"/>
      <c r="C26" s="542"/>
      <c r="D26" s="542"/>
      <c r="E26" s="542"/>
      <c r="F26" s="542"/>
      <c r="G26" s="542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42"/>
      <c r="U26" s="542"/>
      <c r="V26" s="542"/>
      <c r="W26" s="542"/>
      <c r="X26" s="542"/>
      <c r="Y26" s="542"/>
      <c r="Z26" s="542"/>
      <c r="AA26" s="542"/>
      <c r="AB26" s="542"/>
      <c r="AC26" s="542"/>
      <c r="AD26" s="542"/>
      <c r="AE26" s="542"/>
      <c r="AF26" s="542"/>
      <c r="AG26" s="542"/>
      <c r="AH26" s="542"/>
      <c r="AI26" s="542"/>
      <c r="AJ26" s="201"/>
      <c r="AK26" s="202"/>
      <c r="AL26" s="202"/>
      <c r="AM26" s="203"/>
      <c r="AN26" s="203"/>
    </row>
    <row r="27" spans="1:42">
      <c r="AJ27" s="201"/>
      <c r="AK27" s="202"/>
      <c r="AL27" s="202"/>
      <c r="AM27" s="203"/>
      <c r="AN27" s="203"/>
      <c r="AP27" s="247"/>
    </row>
    <row r="28" spans="1:42">
      <c r="A28" s="530" t="s">
        <v>442</v>
      </c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  <c r="W28" s="530"/>
      <c r="X28" s="530"/>
      <c r="Y28" s="530"/>
      <c r="Z28" s="530"/>
      <c r="AA28" s="530"/>
      <c r="AB28" s="530"/>
      <c r="AC28" s="530"/>
      <c r="AD28" s="530"/>
      <c r="AE28" s="530"/>
      <c r="AF28" s="530"/>
      <c r="AG28" s="530"/>
      <c r="AH28" s="530"/>
      <c r="AI28" s="530"/>
      <c r="AJ28" s="201"/>
      <c r="AK28" s="202"/>
      <c r="AL28" s="202"/>
      <c r="AM28" s="203"/>
      <c r="AN28" s="203"/>
      <c r="AP28" s="248"/>
    </row>
    <row r="29" spans="1:42">
      <c r="AJ29" s="201" t="s">
        <v>178</v>
      </c>
      <c r="AK29" s="202"/>
      <c r="AL29" s="202"/>
      <c r="AM29" s="203"/>
      <c r="AN29" s="203"/>
      <c r="AP29" s="248"/>
    </row>
    <row r="30" spans="1:42">
      <c r="A30" s="200" t="s">
        <v>179</v>
      </c>
      <c r="B30" s="543">
        <f>AJ30</f>
        <v>2</v>
      </c>
      <c r="C30" s="543"/>
      <c r="D30" s="200" t="s">
        <v>102</v>
      </c>
      <c r="AJ30" s="201">
        <v>2</v>
      </c>
      <c r="AK30" s="202"/>
      <c r="AL30" s="202"/>
      <c r="AM30" s="203"/>
      <c r="AN30" s="203"/>
      <c r="AP30" s="248"/>
    </row>
    <row r="31" spans="1:42">
      <c r="AJ31" s="201"/>
      <c r="AK31" s="202"/>
      <c r="AL31" s="202"/>
      <c r="AM31" s="203"/>
      <c r="AN31" s="203"/>
      <c r="AP31" s="199"/>
    </row>
    <row r="32" spans="1:42" ht="15">
      <c r="A32" s="539" t="s">
        <v>180</v>
      </c>
      <c r="B32" s="540"/>
      <c r="C32" s="540"/>
      <c r="D32" s="540"/>
      <c r="E32" s="540"/>
      <c r="F32" s="540"/>
      <c r="G32" s="540"/>
      <c r="H32" s="540"/>
      <c r="I32" s="540"/>
      <c r="J32" s="540"/>
      <c r="K32" s="540"/>
      <c r="L32" s="540"/>
      <c r="M32" s="540"/>
      <c r="N32" s="540"/>
      <c r="O32" s="540"/>
      <c r="P32" s="540"/>
      <c r="Q32" s="540"/>
      <c r="R32" s="540"/>
      <c r="S32" s="540"/>
      <c r="T32" s="540"/>
      <c r="U32" s="540"/>
      <c r="V32" s="540"/>
      <c r="W32" s="540"/>
      <c r="X32" s="540"/>
      <c r="Y32" s="540"/>
      <c r="Z32" s="540"/>
      <c r="AA32" s="540"/>
      <c r="AB32" s="540"/>
      <c r="AC32" s="540"/>
      <c r="AD32" s="540"/>
      <c r="AE32" s="540"/>
      <c r="AF32" s="540"/>
      <c r="AG32" s="540"/>
      <c r="AH32" s="540"/>
      <c r="AI32" s="541"/>
      <c r="AJ32" s="201"/>
      <c r="AK32" s="202"/>
      <c r="AL32" s="202"/>
      <c r="AM32" s="203"/>
      <c r="AN32" s="203"/>
    </row>
    <row r="33" spans="1:40">
      <c r="AJ33" s="201"/>
      <c r="AK33" s="202"/>
      <c r="AL33" s="202"/>
      <c r="AM33" s="203"/>
      <c r="AN33" s="203"/>
    </row>
    <row r="34" spans="1:40" ht="15">
      <c r="A34" s="542" t="s">
        <v>409</v>
      </c>
      <c r="B34" s="542"/>
      <c r="C34" s="542"/>
      <c r="D34" s="542"/>
      <c r="E34" s="542"/>
      <c r="F34" s="542"/>
      <c r="G34" s="542"/>
      <c r="H34" s="542"/>
      <c r="I34" s="542"/>
      <c r="J34" s="542"/>
      <c r="K34" s="542"/>
      <c r="L34" s="542"/>
      <c r="M34" s="542"/>
      <c r="N34" s="542"/>
      <c r="O34" s="542"/>
      <c r="P34" s="542"/>
      <c r="Q34" s="542"/>
      <c r="R34" s="542"/>
      <c r="S34" s="542"/>
      <c r="T34" s="542"/>
      <c r="U34" s="542"/>
      <c r="V34" s="542"/>
      <c r="W34" s="542"/>
      <c r="X34" s="542"/>
      <c r="Y34" s="542"/>
      <c r="Z34" s="542"/>
      <c r="AA34" s="542"/>
      <c r="AB34" s="542"/>
      <c r="AC34" s="542"/>
      <c r="AD34" s="542"/>
      <c r="AE34" s="542"/>
      <c r="AF34" s="542"/>
      <c r="AG34" s="542"/>
      <c r="AH34" s="542"/>
      <c r="AI34" s="542"/>
      <c r="AJ34" s="201"/>
      <c r="AK34" s="202"/>
      <c r="AL34" s="202"/>
      <c r="AM34" s="203"/>
      <c r="AN34" s="203"/>
    </row>
    <row r="35" spans="1:40">
      <c r="AJ35" s="201"/>
      <c r="AK35" s="202"/>
      <c r="AL35" s="202"/>
      <c r="AM35" s="203"/>
      <c r="AN35" s="203"/>
    </row>
    <row r="36" spans="1:40">
      <c r="A36" s="530" t="s">
        <v>248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0"/>
      <c r="R36" s="530"/>
      <c r="S36" s="530"/>
      <c r="T36" s="530"/>
      <c r="U36" s="530"/>
      <c r="V36" s="530"/>
      <c r="W36" s="530"/>
      <c r="X36" s="530"/>
      <c r="Y36" s="530"/>
      <c r="Z36" s="530"/>
      <c r="AA36" s="530"/>
      <c r="AB36" s="530"/>
      <c r="AC36" s="530"/>
      <c r="AD36" s="530"/>
      <c r="AE36" s="530"/>
      <c r="AF36" s="530"/>
      <c r="AG36" s="530"/>
      <c r="AH36" s="530"/>
      <c r="AI36" s="530"/>
      <c r="AJ36" s="201"/>
      <c r="AK36" s="202"/>
      <c r="AL36" s="202"/>
      <c r="AM36" s="203"/>
      <c r="AN36" s="203"/>
    </row>
    <row r="37" spans="1:40">
      <c r="A37" s="526"/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  <c r="W37" s="526"/>
      <c r="X37" s="526"/>
      <c r="Y37" s="526"/>
      <c r="Z37" s="526"/>
      <c r="AA37" s="526"/>
      <c r="AB37" s="526"/>
      <c r="AC37" s="526"/>
      <c r="AD37" s="526"/>
      <c r="AE37" s="526"/>
      <c r="AF37" s="526"/>
      <c r="AG37" s="526"/>
      <c r="AH37" s="526"/>
      <c r="AI37" s="526"/>
      <c r="AJ37" s="212"/>
      <c r="AK37" s="212"/>
      <c r="AL37" s="212"/>
      <c r="AM37" s="213"/>
      <c r="AN37" s="203"/>
    </row>
    <row r="38" spans="1:40">
      <c r="A38" s="200" t="s">
        <v>174</v>
      </c>
      <c r="B38" s="543">
        <f>AJ51</f>
        <v>94.1</v>
      </c>
      <c r="C38" s="530"/>
      <c r="D38" s="200" t="s">
        <v>148</v>
      </c>
      <c r="E38" s="214" t="s">
        <v>175</v>
      </c>
      <c r="F38" s="205"/>
      <c r="G38" s="543">
        <f>AK51</f>
        <v>7</v>
      </c>
      <c r="H38" s="543"/>
      <c r="I38" s="200" t="s">
        <v>148</v>
      </c>
      <c r="J38" s="214"/>
      <c r="K38" s="199"/>
      <c r="L38" s="199"/>
      <c r="N38" s="198"/>
      <c r="P38" s="199"/>
      <c r="Q38" s="525"/>
      <c r="R38" s="525"/>
      <c r="AJ38" s="201"/>
      <c r="AK38" s="201"/>
      <c r="AL38" s="201"/>
      <c r="AM38" s="201"/>
      <c r="AN38" s="203"/>
    </row>
    <row r="39" spans="1:40">
      <c r="A39" s="200" t="s">
        <v>443</v>
      </c>
      <c r="B39" s="199"/>
      <c r="E39" s="527">
        <v>7.69</v>
      </c>
      <c r="F39" s="527"/>
      <c r="G39" s="199" t="s">
        <v>85</v>
      </c>
      <c r="H39" s="199"/>
      <c r="J39" s="214"/>
      <c r="K39" s="199"/>
      <c r="L39" s="199"/>
      <c r="N39" s="198"/>
      <c r="P39" s="199"/>
      <c r="AJ39" s="201"/>
      <c r="AK39" s="201"/>
      <c r="AL39" s="201"/>
      <c r="AM39" s="201"/>
      <c r="AN39" s="203"/>
    </row>
    <row r="40" spans="1:40">
      <c r="B40" s="199"/>
      <c r="E40" s="214"/>
      <c r="F40" s="205"/>
      <c r="G40" s="199"/>
      <c r="H40" s="199"/>
      <c r="J40" s="214"/>
      <c r="K40" s="199"/>
      <c r="L40" s="199"/>
      <c r="N40" s="198"/>
      <c r="P40" s="199"/>
      <c r="AJ40" s="201"/>
      <c r="AK40" s="201"/>
      <c r="AL40" s="201"/>
      <c r="AM40" s="201"/>
      <c r="AN40" s="203"/>
    </row>
    <row r="41" spans="1:40">
      <c r="A41" s="200" t="s">
        <v>174</v>
      </c>
      <c r="B41" s="532">
        <f>B38*G38+E39</f>
        <v>666.39</v>
      </c>
      <c r="C41" s="532"/>
      <c r="D41" s="532"/>
      <c r="E41" s="206" t="s">
        <v>85</v>
      </c>
      <c r="AJ41" s="201"/>
      <c r="AK41" s="202"/>
      <c r="AL41" s="202"/>
      <c r="AM41" s="203"/>
      <c r="AN41" s="203"/>
    </row>
    <row r="42" spans="1:40">
      <c r="A42" s="200" t="s">
        <v>199</v>
      </c>
      <c r="B42" s="204"/>
      <c r="C42" s="204"/>
      <c r="D42" s="204"/>
      <c r="E42" s="206"/>
      <c r="AJ42" s="201"/>
      <c r="AK42" s="202">
        <f>315.62+310.17</f>
        <v>625.79</v>
      </c>
      <c r="AL42" s="202"/>
      <c r="AM42" s="203"/>
      <c r="AN42" s="203"/>
    </row>
    <row r="43" spans="1:40">
      <c r="A43" s="200" t="s">
        <v>406</v>
      </c>
      <c r="B43" s="204"/>
      <c r="C43" s="204"/>
      <c r="D43" s="204"/>
      <c r="E43" s="206"/>
      <c r="F43" s="527">
        <f>5.8*7</f>
        <v>40.6</v>
      </c>
      <c r="G43" s="527"/>
      <c r="H43" s="200" t="s">
        <v>85</v>
      </c>
      <c r="AJ43" s="201"/>
      <c r="AK43" s="202"/>
      <c r="AL43" s="202"/>
      <c r="AM43" s="203"/>
      <c r="AN43" s="203"/>
    </row>
    <row r="44" spans="1:40">
      <c r="B44" s="204"/>
      <c r="C44" s="204"/>
      <c r="D44" s="204"/>
      <c r="E44" s="206"/>
      <c r="AJ44" s="201"/>
      <c r="AK44" s="202"/>
      <c r="AL44" s="202"/>
      <c r="AM44" s="203"/>
      <c r="AN44" s="203"/>
    </row>
    <row r="45" spans="1:40">
      <c r="A45" s="200" t="s">
        <v>185</v>
      </c>
      <c r="B45" s="204"/>
      <c r="C45" s="525">
        <f>B41-F43</f>
        <v>625.79</v>
      </c>
      <c r="D45" s="525"/>
      <c r="E45" s="206" t="s">
        <v>85</v>
      </c>
      <c r="AJ45" s="201"/>
      <c r="AK45" s="202"/>
      <c r="AL45" s="202"/>
      <c r="AM45" s="203"/>
      <c r="AN45" s="203"/>
    </row>
    <row r="46" spans="1:40">
      <c r="F46" s="216"/>
      <c r="G46" s="216"/>
      <c r="N46" s="200"/>
      <c r="O46" s="200"/>
      <c r="S46" s="200"/>
      <c r="AJ46" s="201"/>
      <c r="AK46" s="202"/>
      <c r="AL46" s="202"/>
      <c r="AM46" s="203"/>
      <c r="AN46" s="203"/>
    </row>
    <row r="47" spans="1:40" ht="15">
      <c r="A47" s="542" t="s">
        <v>372</v>
      </c>
      <c r="B47" s="542"/>
      <c r="C47" s="542"/>
      <c r="D47" s="542"/>
      <c r="E47" s="542"/>
      <c r="F47" s="542"/>
      <c r="G47" s="542"/>
      <c r="H47" s="542"/>
      <c r="I47" s="542"/>
      <c r="J47" s="542"/>
      <c r="K47" s="542"/>
      <c r="L47" s="542"/>
      <c r="M47" s="542"/>
      <c r="N47" s="542"/>
      <c r="O47" s="542"/>
      <c r="P47" s="542"/>
      <c r="Q47" s="542"/>
      <c r="R47" s="542"/>
      <c r="S47" s="542"/>
      <c r="T47" s="542"/>
      <c r="U47" s="542"/>
      <c r="V47" s="542"/>
      <c r="W47" s="542"/>
      <c r="X47" s="542"/>
      <c r="Y47" s="542"/>
      <c r="Z47" s="542"/>
      <c r="AA47" s="542"/>
      <c r="AB47" s="542"/>
      <c r="AC47" s="542"/>
      <c r="AD47" s="542"/>
      <c r="AE47" s="542"/>
      <c r="AF47" s="542"/>
      <c r="AG47" s="542"/>
      <c r="AH47" s="542"/>
      <c r="AI47" s="542"/>
      <c r="AJ47" s="201"/>
      <c r="AK47" s="202"/>
      <c r="AL47" s="202"/>
      <c r="AM47" s="203"/>
      <c r="AN47" s="203"/>
    </row>
    <row r="48" spans="1:40">
      <c r="AJ48" s="201"/>
      <c r="AK48" s="202"/>
      <c r="AL48" s="202"/>
      <c r="AM48" s="203"/>
      <c r="AN48" s="203"/>
    </row>
    <row r="49" spans="1:40">
      <c r="A49" s="530" t="s">
        <v>248</v>
      </c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R49" s="530"/>
      <c r="S49" s="530"/>
      <c r="T49" s="530"/>
      <c r="U49" s="530"/>
      <c r="V49" s="530"/>
      <c r="W49" s="530"/>
      <c r="X49" s="530"/>
      <c r="Y49" s="530"/>
      <c r="Z49" s="530"/>
      <c r="AA49" s="530"/>
      <c r="AB49" s="530"/>
      <c r="AC49" s="530"/>
      <c r="AD49" s="530"/>
      <c r="AE49" s="530"/>
      <c r="AF49" s="530"/>
      <c r="AG49" s="530"/>
      <c r="AH49" s="530"/>
      <c r="AI49" s="530"/>
      <c r="AJ49" s="201"/>
      <c r="AK49" s="202"/>
      <c r="AL49" s="202"/>
      <c r="AM49" s="203"/>
      <c r="AN49" s="203"/>
    </row>
    <row r="50" spans="1:40">
      <c r="A50" s="526"/>
      <c r="B50" s="526"/>
      <c r="C50" s="526"/>
      <c r="D50" s="526"/>
      <c r="E50" s="526"/>
      <c r="F50" s="526"/>
      <c r="G50" s="526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6"/>
      <c r="S50" s="526"/>
      <c r="T50" s="526"/>
      <c r="U50" s="526"/>
      <c r="V50" s="526"/>
      <c r="W50" s="526"/>
      <c r="X50" s="526"/>
      <c r="Y50" s="526"/>
      <c r="Z50" s="526"/>
      <c r="AA50" s="526"/>
      <c r="AB50" s="526"/>
      <c r="AC50" s="526"/>
      <c r="AD50" s="526"/>
      <c r="AE50" s="526"/>
      <c r="AF50" s="526"/>
      <c r="AG50" s="526"/>
      <c r="AH50" s="526"/>
      <c r="AI50" s="526"/>
      <c r="AJ50" s="212" t="s">
        <v>181</v>
      </c>
      <c r="AK50" s="212" t="s">
        <v>182</v>
      </c>
      <c r="AL50" s="212" t="s">
        <v>183</v>
      </c>
      <c r="AM50" s="213" t="s">
        <v>184</v>
      </c>
      <c r="AN50" s="203"/>
    </row>
    <row r="51" spans="1:40">
      <c r="A51" s="200" t="s">
        <v>174</v>
      </c>
      <c r="B51" s="543">
        <f>AJ51</f>
        <v>94.1</v>
      </c>
      <c r="C51" s="530"/>
      <c r="D51" s="200" t="s">
        <v>148</v>
      </c>
      <c r="E51" s="214" t="s">
        <v>175</v>
      </c>
      <c r="F51" s="205"/>
      <c r="G51" s="543">
        <f>AK51</f>
        <v>7</v>
      </c>
      <c r="H51" s="543"/>
      <c r="I51" s="200" t="s">
        <v>148</v>
      </c>
      <c r="J51" s="214"/>
      <c r="K51" s="199"/>
      <c r="L51" s="199"/>
      <c r="N51" s="198"/>
      <c r="P51" s="199"/>
      <c r="AJ51" s="201">
        <v>94.1</v>
      </c>
      <c r="AK51" s="201">
        <v>7</v>
      </c>
      <c r="AL51" s="201">
        <v>1.35</v>
      </c>
      <c r="AM51" s="201">
        <v>1.35</v>
      </c>
      <c r="AN51" s="203"/>
    </row>
    <row r="52" spans="1:40">
      <c r="A52" s="200" t="s">
        <v>443</v>
      </c>
      <c r="B52" s="199"/>
      <c r="E52" s="527">
        <v>7.69</v>
      </c>
      <c r="F52" s="527"/>
      <c r="G52" s="199" t="s">
        <v>85</v>
      </c>
      <c r="H52" s="199"/>
      <c r="J52" s="214"/>
      <c r="K52" s="199"/>
      <c r="L52" s="199"/>
      <c r="N52" s="198"/>
      <c r="P52" s="199"/>
      <c r="AJ52" s="201"/>
      <c r="AK52" s="201"/>
      <c r="AL52" s="201"/>
      <c r="AM52" s="201"/>
      <c r="AN52" s="203"/>
    </row>
    <row r="53" spans="1:40">
      <c r="A53" s="200" t="s">
        <v>174</v>
      </c>
      <c r="B53" s="532">
        <f>AJ51*AK51+E52</f>
        <v>666.39</v>
      </c>
      <c r="C53" s="532"/>
      <c r="D53" s="532"/>
      <c r="E53" s="206" t="s">
        <v>85</v>
      </c>
      <c r="AJ53" s="201"/>
      <c r="AK53" s="202"/>
      <c r="AL53" s="202"/>
      <c r="AM53" s="203"/>
      <c r="AN53" s="203"/>
    </row>
    <row r="54" spans="1:40">
      <c r="A54" s="200" t="s">
        <v>199</v>
      </c>
      <c r="B54" s="204"/>
      <c r="C54" s="204"/>
      <c r="D54" s="204"/>
      <c r="E54" s="206"/>
      <c r="AJ54" s="201"/>
      <c r="AK54" s="202"/>
      <c r="AL54" s="202"/>
      <c r="AM54" s="203"/>
      <c r="AN54" s="203"/>
    </row>
    <row r="55" spans="1:40">
      <c r="A55" s="200" t="s">
        <v>406</v>
      </c>
      <c r="B55" s="204"/>
      <c r="C55" s="204"/>
      <c r="D55" s="204"/>
      <c r="E55" s="206"/>
      <c r="F55" s="527">
        <f>5.8*7</f>
        <v>40.6</v>
      </c>
      <c r="G55" s="527"/>
      <c r="H55" s="200" t="s">
        <v>85</v>
      </c>
      <c r="AJ55" s="201"/>
      <c r="AK55" s="202"/>
      <c r="AL55" s="202"/>
      <c r="AM55" s="203"/>
      <c r="AN55" s="203"/>
    </row>
    <row r="56" spans="1:40">
      <c r="B56" s="204"/>
      <c r="C56" s="204"/>
      <c r="D56" s="204"/>
      <c r="E56" s="206"/>
      <c r="AJ56" s="201"/>
      <c r="AK56" s="202"/>
      <c r="AL56" s="202"/>
      <c r="AM56" s="203"/>
      <c r="AN56" s="203"/>
    </row>
    <row r="57" spans="1:40">
      <c r="A57" s="200" t="s">
        <v>185</v>
      </c>
      <c r="B57" s="204"/>
      <c r="C57" s="525">
        <f>B53-F55</f>
        <v>625.79</v>
      </c>
      <c r="D57" s="525"/>
      <c r="E57" s="206" t="s">
        <v>85</v>
      </c>
      <c r="AJ57" s="201"/>
      <c r="AK57" s="202"/>
      <c r="AL57" s="202"/>
      <c r="AM57" s="203"/>
      <c r="AN57" s="203"/>
    </row>
    <row r="58" spans="1:40">
      <c r="F58" s="216"/>
      <c r="G58" s="216"/>
      <c r="N58" s="200"/>
      <c r="O58" s="200"/>
      <c r="S58" s="200"/>
      <c r="AJ58" s="201"/>
      <c r="AK58" s="202"/>
      <c r="AL58" s="202"/>
      <c r="AM58" s="203"/>
      <c r="AN58" s="203"/>
    </row>
    <row r="59" spans="1:40" ht="15">
      <c r="A59" s="544" t="s">
        <v>383</v>
      </c>
      <c r="B59" s="544"/>
      <c r="C59" s="544"/>
      <c r="D59" s="544"/>
      <c r="E59" s="544"/>
      <c r="F59" s="544"/>
      <c r="G59" s="544"/>
      <c r="H59" s="544"/>
      <c r="I59" s="544"/>
      <c r="J59" s="544"/>
      <c r="K59" s="544"/>
      <c r="L59" s="544"/>
      <c r="M59" s="544"/>
      <c r="N59" s="544"/>
      <c r="O59" s="544"/>
      <c r="P59" s="544"/>
      <c r="Q59" s="544"/>
      <c r="R59" s="544"/>
      <c r="S59" s="544"/>
      <c r="T59" s="544"/>
      <c r="U59" s="544"/>
      <c r="V59" s="544"/>
      <c r="W59" s="544"/>
      <c r="X59" s="544"/>
      <c r="Y59" s="544"/>
      <c r="Z59" s="544"/>
      <c r="AA59" s="544"/>
      <c r="AB59" s="544"/>
      <c r="AC59" s="544"/>
      <c r="AD59" s="544"/>
      <c r="AE59" s="544"/>
      <c r="AF59" s="544"/>
      <c r="AG59" s="544"/>
      <c r="AH59" s="544"/>
      <c r="AI59" s="544"/>
      <c r="AJ59" s="201"/>
      <c r="AK59" s="202"/>
      <c r="AL59" s="202"/>
      <c r="AM59" s="203"/>
      <c r="AN59" s="203"/>
    </row>
    <row r="60" spans="1:40">
      <c r="AJ60" s="201"/>
      <c r="AK60" s="202"/>
      <c r="AL60" s="202"/>
      <c r="AM60" s="203"/>
      <c r="AN60" s="203"/>
    </row>
    <row r="61" spans="1:40">
      <c r="A61" s="526" t="s">
        <v>187</v>
      </c>
      <c r="B61" s="526"/>
      <c r="C61" s="526"/>
      <c r="D61" s="526"/>
      <c r="E61" s="526"/>
      <c r="F61" s="526"/>
      <c r="G61" s="526"/>
      <c r="H61" s="526"/>
      <c r="I61" s="526"/>
      <c r="J61" s="526"/>
      <c r="K61" s="526"/>
      <c r="L61" s="526"/>
      <c r="M61" s="526"/>
      <c r="N61" s="526"/>
      <c r="O61" s="526"/>
      <c r="P61" s="526"/>
      <c r="Q61" s="526"/>
      <c r="R61" s="526"/>
      <c r="S61" s="526"/>
      <c r="T61" s="526"/>
      <c r="U61" s="526"/>
      <c r="V61" s="526"/>
      <c r="W61" s="526"/>
      <c r="X61" s="526"/>
      <c r="Y61" s="526"/>
      <c r="Z61" s="526"/>
      <c r="AA61" s="526"/>
      <c r="AB61" s="526"/>
      <c r="AC61" s="526"/>
      <c r="AD61" s="526"/>
      <c r="AE61" s="526"/>
      <c r="AF61" s="526"/>
      <c r="AG61" s="526"/>
      <c r="AH61" s="526"/>
      <c r="AI61" s="526"/>
      <c r="AJ61" s="201"/>
      <c r="AK61" s="202"/>
      <c r="AL61" s="202"/>
      <c r="AM61" s="203"/>
      <c r="AN61" s="203"/>
    </row>
    <row r="62" spans="1:40">
      <c r="AJ62" s="201"/>
      <c r="AK62" s="202"/>
      <c r="AL62" s="202"/>
      <c r="AM62" s="203"/>
      <c r="AN62" s="203"/>
    </row>
    <row r="63" spans="1:40">
      <c r="A63" s="526" t="s">
        <v>188</v>
      </c>
      <c r="B63" s="526"/>
      <c r="C63" s="526"/>
      <c r="D63" s="526"/>
      <c r="F63" s="531">
        <v>45.44</v>
      </c>
      <c r="G63" s="531"/>
      <c r="H63" s="200" t="s">
        <v>148</v>
      </c>
      <c r="AJ63" s="201"/>
      <c r="AK63" s="202"/>
      <c r="AL63" s="202"/>
      <c r="AM63" s="203"/>
      <c r="AN63" s="203"/>
    </row>
    <row r="64" spans="1:40">
      <c r="A64" s="526" t="s">
        <v>189</v>
      </c>
      <c r="B64" s="526"/>
      <c r="C64" s="526"/>
      <c r="D64" s="526"/>
      <c r="F64" s="531">
        <v>46.23</v>
      </c>
      <c r="G64" s="531"/>
      <c r="H64" s="200" t="s">
        <v>148</v>
      </c>
      <c r="AJ64" s="201"/>
      <c r="AK64" s="202"/>
      <c r="AL64" s="202"/>
      <c r="AM64" s="203"/>
      <c r="AN64" s="203"/>
    </row>
    <row r="65" spans="1:40">
      <c r="A65" s="526" t="s">
        <v>190</v>
      </c>
      <c r="B65" s="526"/>
      <c r="C65" s="526"/>
      <c r="D65" s="526"/>
      <c r="F65" s="531">
        <v>45.28</v>
      </c>
      <c r="G65" s="531"/>
      <c r="H65" s="200" t="s">
        <v>148</v>
      </c>
      <c r="AJ65" s="201"/>
      <c r="AK65" s="202"/>
      <c r="AL65" s="202"/>
      <c r="AM65" s="203"/>
      <c r="AN65" s="203"/>
    </row>
    <row r="66" spans="1:40">
      <c r="A66" s="526" t="s">
        <v>379</v>
      </c>
      <c r="B66" s="526"/>
      <c r="C66" s="526"/>
      <c r="D66" s="526"/>
      <c r="F66" s="531">
        <v>45.98</v>
      </c>
      <c r="G66" s="531"/>
      <c r="H66" s="200" t="s">
        <v>148</v>
      </c>
      <c r="AJ66" s="201"/>
      <c r="AK66" s="202"/>
      <c r="AL66" s="202"/>
      <c r="AM66" s="203"/>
      <c r="AN66" s="203"/>
    </row>
    <row r="67" spans="1:40">
      <c r="A67" s="215"/>
      <c r="B67" s="215"/>
      <c r="C67" s="215"/>
      <c r="D67" s="215"/>
      <c r="F67" s="216"/>
      <c r="G67" s="216"/>
      <c r="AJ67" s="201"/>
      <c r="AK67" s="202"/>
      <c r="AL67" s="202"/>
      <c r="AM67" s="203"/>
      <c r="AN67" s="203"/>
    </row>
    <row r="68" spans="1:40">
      <c r="A68" s="215" t="s">
        <v>191</v>
      </c>
      <c r="B68" s="215"/>
      <c r="C68" s="215"/>
      <c r="D68" s="215"/>
      <c r="F68" s="531">
        <f>SUM(F63:G66)</f>
        <v>182.93</v>
      </c>
      <c r="G68" s="531"/>
      <c r="H68" s="200" t="s">
        <v>148</v>
      </c>
      <c r="AJ68" s="201"/>
      <c r="AK68" s="202"/>
      <c r="AL68" s="202"/>
      <c r="AM68" s="203"/>
      <c r="AN68" s="203"/>
    </row>
    <row r="69" spans="1:40">
      <c r="AJ69" s="201"/>
      <c r="AK69" s="202"/>
      <c r="AL69" s="202"/>
      <c r="AM69" s="203"/>
      <c r="AN69" s="203"/>
    </row>
    <row r="70" spans="1:40" ht="15">
      <c r="A70" s="542" t="s">
        <v>422</v>
      </c>
      <c r="B70" s="542"/>
      <c r="C70" s="542"/>
      <c r="D70" s="542"/>
      <c r="E70" s="542"/>
      <c r="F70" s="542"/>
      <c r="G70" s="542"/>
      <c r="H70" s="542"/>
      <c r="I70" s="542"/>
      <c r="J70" s="542"/>
      <c r="K70" s="542"/>
      <c r="L70" s="542"/>
      <c r="M70" s="542"/>
      <c r="N70" s="542"/>
      <c r="O70" s="542"/>
      <c r="P70" s="542"/>
      <c r="Q70" s="542"/>
      <c r="R70" s="542"/>
      <c r="S70" s="542"/>
      <c r="T70" s="542"/>
      <c r="U70" s="542"/>
      <c r="V70" s="542"/>
      <c r="W70" s="542"/>
      <c r="X70" s="542"/>
      <c r="Y70" s="542"/>
      <c r="Z70" s="542"/>
      <c r="AA70" s="542"/>
      <c r="AB70" s="542"/>
      <c r="AC70" s="542"/>
      <c r="AD70" s="542"/>
      <c r="AE70" s="542"/>
      <c r="AF70" s="542"/>
      <c r="AG70" s="542"/>
      <c r="AH70" s="542"/>
      <c r="AI70" s="542"/>
      <c r="AJ70" s="201"/>
      <c r="AK70" s="202"/>
      <c r="AL70" s="202"/>
      <c r="AM70" s="203"/>
      <c r="AN70" s="203"/>
    </row>
    <row r="71" spans="1:40">
      <c r="AJ71" s="201"/>
      <c r="AK71" s="202"/>
      <c r="AL71" s="202"/>
      <c r="AM71" s="203"/>
      <c r="AN71" s="203"/>
    </row>
    <row r="72" spans="1:40">
      <c r="A72" s="530" t="s">
        <v>192</v>
      </c>
      <c r="B72" s="530"/>
      <c r="C72" s="530"/>
      <c r="D72" s="530"/>
      <c r="E72" s="530"/>
      <c r="F72" s="530"/>
      <c r="G72" s="530"/>
      <c r="H72" s="530"/>
      <c r="I72" s="530"/>
      <c r="J72" s="530"/>
      <c r="K72" s="530"/>
      <c r="L72" s="530"/>
      <c r="M72" s="530"/>
      <c r="N72" s="530"/>
      <c r="O72" s="530"/>
      <c r="P72" s="530"/>
      <c r="Q72" s="530"/>
      <c r="R72" s="530"/>
      <c r="S72" s="530"/>
      <c r="T72" s="530"/>
      <c r="U72" s="530"/>
      <c r="V72" s="530"/>
      <c r="W72" s="530"/>
      <c r="X72" s="530"/>
      <c r="Y72" s="530"/>
      <c r="Z72" s="530"/>
      <c r="AA72" s="530"/>
      <c r="AB72" s="530"/>
      <c r="AC72" s="530"/>
      <c r="AD72" s="530"/>
      <c r="AE72" s="530"/>
      <c r="AF72" s="530"/>
      <c r="AG72" s="530"/>
      <c r="AH72" s="530"/>
      <c r="AI72" s="530"/>
      <c r="AJ72" s="548" t="s">
        <v>193</v>
      </c>
      <c r="AK72" s="548"/>
      <c r="AL72" s="202"/>
      <c r="AM72" s="203"/>
      <c r="AN72" s="203"/>
    </row>
    <row r="73" spans="1:40">
      <c r="AJ73" s="202">
        <v>2</v>
      </c>
      <c r="AK73" s="203"/>
      <c r="AL73" s="202"/>
      <c r="AM73" s="203"/>
      <c r="AN73" s="203"/>
    </row>
    <row r="74" spans="1:40">
      <c r="A74" s="200" t="s">
        <v>388</v>
      </c>
      <c r="B74" s="543">
        <f>AK51</f>
        <v>7</v>
      </c>
      <c r="C74" s="543"/>
      <c r="D74" s="543"/>
      <c r="E74" s="200" t="s">
        <v>148</v>
      </c>
      <c r="F74" s="214" t="s">
        <v>175</v>
      </c>
      <c r="G74" s="543">
        <f>AJ73</f>
        <v>2</v>
      </c>
      <c r="H74" s="543"/>
      <c r="I74" s="200" t="s">
        <v>194</v>
      </c>
      <c r="J74" s="214"/>
      <c r="K74" s="205"/>
      <c r="L74" s="543"/>
      <c r="M74" s="543"/>
      <c r="P74" s="543"/>
      <c r="Q74" s="543"/>
      <c r="S74" s="525"/>
      <c r="T74" s="525"/>
      <c r="AJ74" s="201"/>
      <c r="AK74" s="202"/>
      <c r="AL74" s="202"/>
      <c r="AM74" s="203"/>
      <c r="AN74" s="203"/>
    </row>
    <row r="75" spans="1:40">
      <c r="A75" s="200" t="s">
        <v>388</v>
      </c>
      <c r="B75" s="543">
        <f>B74*G74</f>
        <v>14</v>
      </c>
      <c r="C75" s="543"/>
      <c r="D75" s="543"/>
      <c r="E75" s="200" t="s">
        <v>148</v>
      </c>
      <c r="AJ75" s="201"/>
      <c r="AK75" s="202"/>
      <c r="AL75" s="202"/>
      <c r="AM75" s="203"/>
      <c r="AN75" s="203"/>
    </row>
    <row r="76" spans="1:40">
      <c r="AJ76" s="201"/>
      <c r="AK76" s="202"/>
      <c r="AL76" s="202"/>
      <c r="AM76" s="203"/>
      <c r="AN76" s="203"/>
    </row>
    <row r="77" spans="1:40" s="223" customFormat="1" ht="27" customHeight="1">
      <c r="A77" s="544" t="s">
        <v>423</v>
      </c>
      <c r="B77" s="544"/>
      <c r="C77" s="544"/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  <c r="R77" s="544"/>
      <c r="S77" s="544"/>
      <c r="T77" s="544"/>
      <c r="U77" s="544"/>
      <c r="V77" s="544"/>
      <c r="W77" s="544"/>
      <c r="X77" s="544"/>
      <c r="Y77" s="544"/>
      <c r="Z77" s="544"/>
      <c r="AA77" s="544"/>
      <c r="AB77" s="544"/>
      <c r="AC77" s="544"/>
      <c r="AD77" s="544"/>
      <c r="AE77" s="544"/>
      <c r="AF77" s="544"/>
      <c r="AG77" s="544"/>
      <c r="AH77" s="544"/>
      <c r="AI77" s="544"/>
      <c r="AJ77" s="352"/>
      <c r="AK77" s="353"/>
      <c r="AL77" s="353"/>
      <c r="AM77" s="222"/>
      <c r="AN77" s="222"/>
    </row>
    <row r="78" spans="1:40">
      <c r="AJ78" s="201"/>
      <c r="AK78" s="202"/>
      <c r="AL78" s="202"/>
      <c r="AM78" s="203"/>
      <c r="AN78" s="203"/>
    </row>
    <row r="79" spans="1:40" ht="29.25" customHeight="1">
      <c r="A79" s="538" t="s">
        <v>195</v>
      </c>
      <c r="B79" s="538"/>
      <c r="C79" s="538"/>
      <c r="D79" s="538"/>
      <c r="E79" s="538"/>
      <c r="F79" s="538"/>
      <c r="G79" s="538"/>
      <c r="H79" s="538"/>
      <c r="I79" s="538"/>
      <c r="J79" s="538"/>
      <c r="K79" s="538"/>
      <c r="L79" s="538"/>
      <c r="M79" s="538"/>
      <c r="N79" s="538"/>
      <c r="O79" s="538"/>
      <c r="P79" s="538"/>
      <c r="Q79" s="538"/>
      <c r="R79" s="538"/>
      <c r="S79" s="538"/>
      <c r="T79" s="538"/>
      <c r="U79" s="538"/>
      <c r="V79" s="538"/>
      <c r="W79" s="538"/>
      <c r="X79" s="538"/>
      <c r="Y79" s="538"/>
      <c r="Z79" s="538"/>
      <c r="AA79" s="538"/>
      <c r="AB79" s="538"/>
      <c r="AC79" s="538"/>
      <c r="AD79" s="538"/>
      <c r="AE79" s="538"/>
      <c r="AF79" s="538"/>
      <c r="AG79" s="538"/>
      <c r="AH79" s="538"/>
      <c r="AI79" s="538"/>
      <c r="AJ79" s="201"/>
      <c r="AK79" s="202"/>
      <c r="AL79" s="202"/>
      <c r="AM79" s="203"/>
      <c r="AN79" s="203"/>
    </row>
    <row r="80" spans="1:40">
      <c r="AJ80" s="201"/>
      <c r="AK80" s="202"/>
      <c r="AL80" s="202"/>
      <c r="AM80" s="203"/>
      <c r="AN80" s="203"/>
    </row>
    <row r="81" spans="1:40">
      <c r="A81" s="526" t="s">
        <v>188</v>
      </c>
      <c r="B81" s="526"/>
      <c r="C81" s="526"/>
      <c r="D81" s="526"/>
      <c r="F81" s="531">
        <f>F63</f>
        <v>45.44</v>
      </c>
      <c r="G81" s="531"/>
      <c r="H81" s="526" t="s">
        <v>196</v>
      </c>
      <c r="I81" s="526"/>
      <c r="J81" s="531">
        <v>1</v>
      </c>
      <c r="K81" s="531"/>
      <c r="L81" s="526" t="s">
        <v>197</v>
      </c>
      <c r="M81" s="526"/>
      <c r="N81" s="532">
        <f>F81*J81</f>
        <v>45.44</v>
      </c>
      <c r="O81" s="532"/>
      <c r="P81" s="200" t="s">
        <v>148</v>
      </c>
      <c r="AJ81" s="201"/>
      <c r="AK81" s="202"/>
      <c r="AL81" s="202"/>
      <c r="AM81" s="203"/>
      <c r="AN81" s="203"/>
    </row>
    <row r="82" spans="1:40">
      <c r="A82" s="526" t="s">
        <v>189</v>
      </c>
      <c r="B82" s="526"/>
      <c r="C82" s="526"/>
      <c r="D82" s="526"/>
      <c r="F82" s="531">
        <f>F64</f>
        <v>46.23</v>
      </c>
      <c r="G82" s="531"/>
      <c r="H82" s="526" t="s">
        <v>196</v>
      </c>
      <c r="I82" s="526"/>
      <c r="J82" s="531">
        <v>1</v>
      </c>
      <c r="K82" s="531"/>
      <c r="L82" s="526" t="s">
        <v>197</v>
      </c>
      <c r="M82" s="526"/>
      <c r="N82" s="532">
        <f>F82*J82</f>
        <v>46.23</v>
      </c>
      <c r="O82" s="532"/>
      <c r="P82" s="200" t="s">
        <v>148</v>
      </c>
      <c r="AJ82" s="201"/>
      <c r="AK82" s="202"/>
      <c r="AL82" s="202"/>
      <c r="AM82" s="203"/>
      <c r="AN82" s="203"/>
    </row>
    <row r="83" spans="1:40">
      <c r="A83" s="526" t="s">
        <v>190</v>
      </c>
      <c r="B83" s="526"/>
      <c r="C83" s="526"/>
      <c r="D83" s="526"/>
      <c r="F83" s="531">
        <f>F65</f>
        <v>45.28</v>
      </c>
      <c r="G83" s="531"/>
      <c r="H83" s="526" t="s">
        <v>196</v>
      </c>
      <c r="I83" s="526"/>
      <c r="J83" s="531">
        <v>1</v>
      </c>
      <c r="K83" s="531"/>
      <c r="L83" s="526" t="s">
        <v>197</v>
      </c>
      <c r="M83" s="526"/>
      <c r="N83" s="532">
        <f>F83*J83</f>
        <v>45.28</v>
      </c>
      <c r="O83" s="532"/>
      <c r="P83" s="200" t="s">
        <v>148</v>
      </c>
      <c r="AJ83" s="201"/>
      <c r="AK83" s="202"/>
      <c r="AL83" s="202"/>
      <c r="AM83" s="203"/>
      <c r="AN83" s="203"/>
    </row>
    <row r="84" spans="1:40">
      <c r="A84" s="526" t="s">
        <v>379</v>
      </c>
      <c r="B84" s="526"/>
      <c r="C84" s="526"/>
      <c r="D84" s="526"/>
      <c r="F84" s="531">
        <f>F66</f>
        <v>45.98</v>
      </c>
      <c r="G84" s="531"/>
      <c r="H84" s="526" t="s">
        <v>196</v>
      </c>
      <c r="I84" s="526"/>
      <c r="J84" s="531">
        <v>1</v>
      </c>
      <c r="K84" s="531"/>
      <c r="L84" s="526" t="s">
        <v>197</v>
      </c>
      <c r="M84" s="526"/>
      <c r="N84" s="532">
        <f>F84*J84</f>
        <v>45.98</v>
      </c>
      <c r="O84" s="532"/>
      <c r="P84" s="200" t="s">
        <v>148</v>
      </c>
      <c r="AJ84" s="201"/>
      <c r="AK84" s="202"/>
      <c r="AL84" s="202"/>
      <c r="AM84" s="203"/>
      <c r="AN84" s="203"/>
    </row>
    <row r="85" spans="1:40">
      <c r="A85" s="200" t="s">
        <v>185</v>
      </c>
      <c r="C85" s="531">
        <f>SUM(N81:O84)</f>
        <v>182.93</v>
      </c>
      <c r="D85" s="533"/>
      <c r="E85" s="526" t="s">
        <v>196</v>
      </c>
      <c r="F85" s="526"/>
      <c r="G85" s="532">
        <f>AL51</f>
        <v>1.35</v>
      </c>
      <c r="H85" s="533"/>
      <c r="I85" s="526" t="s">
        <v>198</v>
      </c>
      <c r="J85" s="526"/>
      <c r="K85" s="525">
        <f>C85*G85</f>
        <v>246.96</v>
      </c>
      <c r="L85" s="525"/>
      <c r="M85" s="200" t="s">
        <v>85</v>
      </c>
      <c r="N85" s="204"/>
      <c r="O85" s="204"/>
      <c r="AJ85" s="201"/>
      <c r="AK85" s="202"/>
      <c r="AL85" s="202"/>
      <c r="AM85" s="203"/>
      <c r="AN85" s="203"/>
    </row>
    <row r="86" spans="1:40">
      <c r="F86" s="216"/>
      <c r="G86" s="216"/>
      <c r="H86" s="215"/>
      <c r="I86" s="215"/>
      <c r="J86" s="216"/>
      <c r="K86" s="216"/>
      <c r="L86" s="215"/>
      <c r="M86" s="215"/>
      <c r="N86" s="204"/>
      <c r="O86" s="204"/>
      <c r="AJ86" s="201"/>
      <c r="AK86" s="202"/>
      <c r="AL86" s="202"/>
      <c r="AM86" s="203"/>
      <c r="AN86" s="203"/>
    </row>
    <row r="87" spans="1:40">
      <c r="A87" s="200" t="s">
        <v>199</v>
      </c>
      <c r="E87" s="205"/>
      <c r="F87" s="205"/>
      <c r="H87" s="216"/>
      <c r="I87" s="216"/>
      <c r="J87" s="215"/>
      <c r="K87" s="215"/>
      <c r="L87" s="216"/>
      <c r="M87" s="216"/>
      <c r="AJ87" s="201"/>
      <c r="AK87" s="202"/>
      <c r="AL87" s="202"/>
      <c r="AM87" s="203"/>
      <c r="AN87" s="203"/>
    </row>
    <row r="88" spans="1:40">
      <c r="A88" s="526" t="s">
        <v>200</v>
      </c>
      <c r="B88" s="526"/>
      <c r="C88" s="526"/>
      <c r="D88" s="526"/>
      <c r="F88" s="531">
        <f>C116</f>
        <v>38.229999999999997</v>
      </c>
      <c r="G88" s="531"/>
      <c r="H88" s="526" t="s">
        <v>85</v>
      </c>
      <c r="I88" s="526"/>
      <c r="J88" s="531"/>
      <c r="K88" s="531"/>
      <c r="L88" s="526"/>
      <c r="M88" s="526"/>
      <c r="N88" s="532"/>
      <c r="O88" s="532"/>
      <c r="AJ88" s="201"/>
      <c r="AK88" s="202"/>
      <c r="AL88" s="202"/>
      <c r="AM88" s="203"/>
      <c r="AN88" s="203"/>
    </row>
    <row r="89" spans="1:40">
      <c r="A89" s="200" t="s">
        <v>201</v>
      </c>
      <c r="F89" s="531">
        <v>8.5</v>
      </c>
      <c r="G89" s="531"/>
      <c r="H89" s="526" t="s">
        <v>196</v>
      </c>
      <c r="I89" s="526"/>
      <c r="J89" s="531">
        <v>4</v>
      </c>
      <c r="K89" s="531"/>
      <c r="L89" s="526" t="s">
        <v>202</v>
      </c>
      <c r="M89" s="526"/>
      <c r="N89" s="532">
        <f>G85</f>
        <v>1.35</v>
      </c>
      <c r="O89" s="532"/>
      <c r="P89" s="200" t="s">
        <v>203</v>
      </c>
      <c r="Q89" s="528">
        <f>F89*J89*N89</f>
        <v>45.9</v>
      </c>
      <c r="R89" s="528"/>
      <c r="S89" s="199" t="s">
        <v>85</v>
      </c>
      <c r="AJ89" s="201"/>
      <c r="AK89" s="202"/>
      <c r="AL89" s="202"/>
      <c r="AM89" s="203"/>
      <c r="AN89" s="203"/>
    </row>
    <row r="90" spans="1:40">
      <c r="A90" s="200" t="s">
        <v>204</v>
      </c>
      <c r="F90" s="531">
        <f>K85</f>
        <v>246.96</v>
      </c>
      <c r="G90" s="533"/>
      <c r="H90" s="526" t="s">
        <v>205</v>
      </c>
      <c r="I90" s="526"/>
      <c r="J90" s="531">
        <f>SUM(F88,Q89)</f>
        <v>84.13</v>
      </c>
      <c r="K90" s="533"/>
      <c r="L90" s="526" t="s">
        <v>206</v>
      </c>
      <c r="M90" s="526"/>
      <c r="N90" s="525">
        <f>F90-J90</f>
        <v>162.83000000000001</v>
      </c>
      <c r="O90" s="525"/>
      <c r="P90" s="200" t="s">
        <v>85</v>
      </c>
      <c r="AJ90" s="201"/>
      <c r="AK90" s="202"/>
      <c r="AL90" s="202"/>
      <c r="AM90" s="203"/>
      <c r="AN90" s="203"/>
    </row>
    <row r="91" spans="1:40">
      <c r="AJ91" s="201"/>
      <c r="AK91" s="202"/>
      <c r="AL91" s="202"/>
      <c r="AM91" s="203"/>
      <c r="AN91" s="203"/>
    </row>
    <row r="92" spans="1:40" ht="27" customHeight="1">
      <c r="A92" s="544" t="s">
        <v>424</v>
      </c>
      <c r="B92" s="544"/>
      <c r="C92" s="544"/>
      <c r="D92" s="544"/>
      <c r="E92" s="544"/>
      <c r="F92" s="544"/>
      <c r="G92" s="544"/>
      <c r="H92" s="544"/>
      <c r="I92" s="544"/>
      <c r="J92" s="544"/>
      <c r="K92" s="544"/>
      <c r="L92" s="544"/>
      <c r="M92" s="544"/>
      <c r="N92" s="544"/>
      <c r="O92" s="544"/>
      <c r="P92" s="544"/>
      <c r="Q92" s="544"/>
      <c r="R92" s="544"/>
      <c r="S92" s="544"/>
      <c r="T92" s="544"/>
      <c r="U92" s="544"/>
      <c r="V92" s="544"/>
      <c r="W92" s="544"/>
      <c r="X92" s="544"/>
      <c r="Y92" s="544"/>
      <c r="Z92" s="544"/>
      <c r="AA92" s="544"/>
      <c r="AB92" s="544"/>
      <c r="AC92" s="544"/>
      <c r="AD92" s="544"/>
      <c r="AE92" s="544"/>
      <c r="AF92" s="544"/>
      <c r="AG92" s="544"/>
      <c r="AH92" s="544"/>
      <c r="AI92" s="544"/>
      <c r="AJ92" s="201"/>
      <c r="AK92" s="202"/>
      <c r="AL92" s="202"/>
      <c r="AM92" s="203"/>
      <c r="AN92" s="203"/>
    </row>
    <row r="93" spans="1:40">
      <c r="A93" s="223"/>
      <c r="AJ93" s="201"/>
      <c r="AK93" s="202"/>
      <c r="AL93" s="202"/>
      <c r="AM93" s="203"/>
      <c r="AN93" s="203"/>
    </row>
    <row r="94" spans="1:40">
      <c r="A94" s="530" t="s">
        <v>207</v>
      </c>
      <c r="B94" s="530"/>
      <c r="C94" s="530"/>
      <c r="D94" s="530"/>
      <c r="E94" s="530"/>
      <c r="F94" s="530"/>
      <c r="G94" s="530"/>
      <c r="H94" s="530"/>
      <c r="I94" s="530"/>
      <c r="J94" s="530"/>
      <c r="K94" s="530"/>
      <c r="L94" s="530"/>
      <c r="M94" s="530"/>
      <c r="N94" s="530"/>
      <c r="O94" s="530"/>
      <c r="P94" s="530"/>
      <c r="Q94" s="530"/>
      <c r="R94" s="530"/>
      <c r="S94" s="530"/>
      <c r="T94" s="530"/>
      <c r="U94" s="530"/>
      <c r="V94" s="530"/>
      <c r="W94" s="530"/>
      <c r="X94" s="530"/>
      <c r="Y94" s="530"/>
      <c r="Z94" s="530"/>
      <c r="AA94" s="530"/>
      <c r="AB94" s="530"/>
      <c r="AC94" s="530"/>
      <c r="AD94" s="530"/>
      <c r="AE94" s="530"/>
      <c r="AF94" s="530"/>
      <c r="AG94" s="530"/>
      <c r="AH94" s="530"/>
      <c r="AI94" s="530"/>
      <c r="AJ94" s="201"/>
      <c r="AK94" s="202"/>
      <c r="AL94" s="202"/>
      <c r="AM94" s="203"/>
      <c r="AN94" s="203"/>
    </row>
    <row r="95" spans="1:40">
      <c r="AJ95" s="201"/>
      <c r="AK95" s="202"/>
      <c r="AL95" s="202"/>
      <c r="AM95" s="203"/>
      <c r="AN95" s="203"/>
    </row>
    <row r="96" spans="1:40">
      <c r="A96" s="200" t="s">
        <v>179</v>
      </c>
      <c r="B96" s="543">
        <v>4</v>
      </c>
      <c r="C96" s="543"/>
      <c r="D96" s="530" t="s">
        <v>102</v>
      </c>
      <c r="E96" s="530"/>
      <c r="AJ96" s="201"/>
      <c r="AK96" s="202"/>
      <c r="AL96" s="202"/>
      <c r="AM96" s="203"/>
      <c r="AN96" s="203"/>
    </row>
    <row r="97" spans="1:40">
      <c r="AJ97" s="201"/>
      <c r="AK97" s="202"/>
      <c r="AL97" s="202"/>
      <c r="AM97" s="203"/>
      <c r="AN97" s="203"/>
    </row>
    <row r="98" spans="1:40" ht="31.5" customHeight="1">
      <c r="A98" s="544" t="s">
        <v>425</v>
      </c>
      <c r="B98" s="544"/>
      <c r="C98" s="544"/>
      <c r="D98" s="544"/>
      <c r="E98" s="544"/>
      <c r="F98" s="544"/>
      <c r="G98" s="544"/>
      <c r="H98" s="544"/>
      <c r="I98" s="544"/>
      <c r="J98" s="544"/>
      <c r="K98" s="544"/>
      <c r="L98" s="544"/>
      <c r="M98" s="544"/>
      <c r="N98" s="544"/>
      <c r="O98" s="544"/>
      <c r="P98" s="544"/>
      <c r="Q98" s="544"/>
      <c r="R98" s="544"/>
      <c r="S98" s="544"/>
      <c r="T98" s="544"/>
      <c r="U98" s="544"/>
      <c r="V98" s="544"/>
      <c r="W98" s="544"/>
      <c r="X98" s="544"/>
      <c r="Y98" s="544"/>
      <c r="Z98" s="544"/>
      <c r="AA98" s="544"/>
      <c r="AB98" s="544"/>
      <c r="AC98" s="544"/>
      <c r="AD98" s="544"/>
      <c r="AE98" s="544"/>
      <c r="AF98" s="544"/>
      <c r="AG98" s="544"/>
      <c r="AH98" s="544"/>
      <c r="AI98" s="544"/>
      <c r="AJ98" s="201"/>
      <c r="AK98" s="202"/>
      <c r="AL98" s="202"/>
      <c r="AM98" s="203"/>
      <c r="AN98" s="218"/>
    </row>
    <row r="99" spans="1:40">
      <c r="AJ99" s="201"/>
      <c r="AK99" s="202"/>
      <c r="AL99" s="202"/>
      <c r="AM99" s="203"/>
      <c r="AN99" s="203"/>
    </row>
    <row r="100" spans="1:40">
      <c r="A100" s="200" t="s">
        <v>208</v>
      </c>
      <c r="AJ100" s="201"/>
      <c r="AK100" s="202"/>
      <c r="AL100" s="202"/>
      <c r="AM100" s="203"/>
      <c r="AN100" s="203"/>
    </row>
    <row r="101" spans="1:40">
      <c r="AJ101" s="201"/>
      <c r="AK101" s="202"/>
      <c r="AL101" s="202"/>
      <c r="AM101" s="203"/>
      <c r="AN101" s="203"/>
    </row>
    <row r="102" spans="1:40">
      <c r="A102" s="526" t="s">
        <v>188</v>
      </c>
      <c r="B102" s="526"/>
      <c r="C102" s="526"/>
      <c r="D102" s="526"/>
      <c r="F102" s="531">
        <f>F81</f>
        <v>45.44</v>
      </c>
      <c r="G102" s="531"/>
      <c r="H102" s="526" t="s">
        <v>196</v>
      </c>
      <c r="I102" s="526"/>
      <c r="J102" s="531">
        <v>1</v>
      </c>
      <c r="K102" s="531"/>
      <c r="L102" s="526" t="s">
        <v>197</v>
      </c>
      <c r="M102" s="526"/>
      <c r="N102" s="532">
        <f>F102*J102</f>
        <v>45.44</v>
      </c>
      <c r="O102" s="532"/>
      <c r="P102" s="200" t="s">
        <v>148</v>
      </c>
      <c r="AJ102" s="201"/>
      <c r="AK102" s="202"/>
      <c r="AL102" s="202"/>
      <c r="AM102" s="203"/>
      <c r="AN102" s="203"/>
    </row>
    <row r="103" spans="1:40">
      <c r="A103" s="526" t="s">
        <v>189</v>
      </c>
      <c r="B103" s="526"/>
      <c r="C103" s="526"/>
      <c r="D103" s="526"/>
      <c r="F103" s="531">
        <f>F82</f>
        <v>46.23</v>
      </c>
      <c r="G103" s="531"/>
      <c r="H103" s="526" t="s">
        <v>196</v>
      </c>
      <c r="I103" s="526"/>
      <c r="J103" s="531">
        <v>1</v>
      </c>
      <c r="K103" s="531"/>
      <c r="L103" s="526" t="s">
        <v>197</v>
      </c>
      <c r="M103" s="526"/>
      <c r="N103" s="532">
        <f>F103*J103</f>
        <v>46.23</v>
      </c>
      <c r="O103" s="532"/>
      <c r="P103" s="200" t="s">
        <v>148</v>
      </c>
      <c r="AJ103" s="201"/>
      <c r="AK103" s="202"/>
      <c r="AL103" s="202"/>
      <c r="AM103" s="203"/>
      <c r="AN103" s="203"/>
    </row>
    <row r="104" spans="1:40">
      <c r="A104" s="526" t="s">
        <v>190</v>
      </c>
      <c r="B104" s="526"/>
      <c r="C104" s="526"/>
      <c r="D104" s="526"/>
      <c r="F104" s="531">
        <f t="shared" ref="F104:F105" si="0">F83</f>
        <v>45.28</v>
      </c>
      <c r="G104" s="531"/>
      <c r="H104" s="526" t="s">
        <v>196</v>
      </c>
      <c r="I104" s="526"/>
      <c r="J104" s="531">
        <v>1</v>
      </c>
      <c r="K104" s="531"/>
      <c r="L104" s="526" t="s">
        <v>197</v>
      </c>
      <c r="M104" s="526"/>
      <c r="N104" s="532">
        <f t="shared" ref="N104:N105" si="1">F104*J104</f>
        <v>45.28</v>
      </c>
      <c r="O104" s="532"/>
      <c r="P104" s="200" t="s">
        <v>148</v>
      </c>
      <c r="AJ104" s="201"/>
      <c r="AK104" s="202"/>
      <c r="AL104" s="202"/>
      <c r="AM104" s="203"/>
      <c r="AN104" s="203"/>
    </row>
    <row r="105" spans="1:40">
      <c r="A105" s="526" t="s">
        <v>379</v>
      </c>
      <c r="B105" s="526"/>
      <c r="C105" s="526"/>
      <c r="D105" s="526"/>
      <c r="F105" s="531">
        <f t="shared" si="0"/>
        <v>45.98</v>
      </c>
      <c r="G105" s="531"/>
      <c r="H105" s="526" t="s">
        <v>196</v>
      </c>
      <c r="I105" s="526"/>
      <c r="J105" s="531">
        <v>1</v>
      </c>
      <c r="K105" s="531"/>
      <c r="L105" s="526" t="s">
        <v>197</v>
      </c>
      <c r="M105" s="526"/>
      <c r="N105" s="532">
        <f t="shared" si="1"/>
        <v>45.98</v>
      </c>
      <c r="O105" s="532"/>
      <c r="P105" s="200" t="s">
        <v>148</v>
      </c>
      <c r="AJ105" s="201"/>
      <c r="AK105" s="202"/>
      <c r="AL105" s="202"/>
      <c r="AM105" s="203"/>
      <c r="AN105" s="203"/>
    </row>
    <row r="106" spans="1:40">
      <c r="E106" s="205"/>
      <c r="F106" s="205"/>
      <c r="H106" s="216"/>
      <c r="I106" s="216"/>
      <c r="J106" s="215"/>
      <c r="K106" s="215"/>
      <c r="L106" s="216"/>
      <c r="M106" s="216"/>
      <c r="AJ106" s="201"/>
      <c r="AK106" s="202"/>
      <c r="AL106" s="202"/>
      <c r="AM106" s="203"/>
      <c r="AN106" s="203"/>
    </row>
    <row r="107" spans="1:40" ht="15" customHeight="1">
      <c r="A107" s="200" t="s">
        <v>199</v>
      </c>
      <c r="E107" s="205"/>
      <c r="F107" s="205"/>
      <c r="H107" s="216"/>
      <c r="I107" s="216"/>
      <c r="J107" s="215"/>
      <c r="K107" s="215"/>
      <c r="L107" s="216"/>
      <c r="M107" s="216"/>
      <c r="AJ107" s="201"/>
      <c r="AK107" s="202"/>
      <c r="AL107" s="202"/>
      <c r="AM107" s="203"/>
      <c r="AN107" s="203"/>
    </row>
    <row r="108" spans="1:40">
      <c r="A108" s="526" t="s">
        <v>201</v>
      </c>
      <c r="B108" s="526"/>
      <c r="C108" s="526"/>
      <c r="D108" s="526"/>
      <c r="F108" s="531">
        <v>8.5</v>
      </c>
      <c r="G108" s="531"/>
      <c r="H108" s="526" t="s">
        <v>196</v>
      </c>
      <c r="I108" s="526"/>
      <c r="J108" s="531">
        <f>B96</f>
        <v>4</v>
      </c>
      <c r="K108" s="531"/>
      <c r="L108" s="526" t="s">
        <v>197</v>
      </c>
      <c r="M108" s="526"/>
      <c r="N108" s="532">
        <f>F108*J108</f>
        <v>34</v>
      </c>
      <c r="O108" s="532"/>
      <c r="P108" s="200" t="s">
        <v>148</v>
      </c>
      <c r="AJ108" s="201"/>
      <c r="AK108" s="202"/>
      <c r="AL108" s="202"/>
      <c r="AM108" s="203"/>
      <c r="AN108" s="203"/>
    </row>
    <row r="109" spans="1:40">
      <c r="A109" s="526" t="s">
        <v>209</v>
      </c>
      <c r="B109" s="526"/>
      <c r="C109" s="526"/>
      <c r="D109" s="526"/>
      <c r="F109" s="531">
        <v>0.5</v>
      </c>
      <c r="G109" s="531"/>
      <c r="H109" s="526" t="s">
        <v>196</v>
      </c>
      <c r="I109" s="526"/>
      <c r="J109" s="531">
        <v>8</v>
      </c>
      <c r="K109" s="531"/>
      <c r="L109" s="526" t="s">
        <v>197</v>
      </c>
      <c r="M109" s="526"/>
      <c r="N109" s="532">
        <f>F109*J109</f>
        <v>4</v>
      </c>
      <c r="O109" s="532"/>
      <c r="P109" s="200" t="s">
        <v>148</v>
      </c>
      <c r="T109" s="199"/>
      <c r="U109" s="199"/>
      <c r="AJ109" s="201"/>
      <c r="AK109" s="202"/>
      <c r="AL109" s="202"/>
      <c r="AM109" s="203"/>
      <c r="AN109" s="203"/>
    </row>
    <row r="110" spans="1:40">
      <c r="A110" s="200" t="s">
        <v>210</v>
      </c>
      <c r="F110" s="531">
        <f>SUM(N102:O105)-SUM(N108:O109)</f>
        <v>144.93</v>
      </c>
      <c r="G110" s="533"/>
      <c r="H110" s="200" t="s">
        <v>211</v>
      </c>
      <c r="I110" s="533">
        <v>0.25</v>
      </c>
      <c r="J110" s="533"/>
      <c r="K110" s="200" t="s">
        <v>212</v>
      </c>
      <c r="L110" s="525">
        <f>F110*I110</f>
        <v>36.229999999999997</v>
      </c>
      <c r="M110" s="528"/>
      <c r="N110" s="199" t="s">
        <v>85</v>
      </c>
      <c r="AJ110" s="201"/>
      <c r="AK110" s="202"/>
      <c r="AL110" s="202"/>
      <c r="AM110" s="203"/>
      <c r="AN110" s="203"/>
    </row>
    <row r="111" spans="1:40">
      <c r="AJ111" s="201"/>
      <c r="AK111" s="202"/>
      <c r="AL111" s="202"/>
      <c r="AM111" s="203"/>
      <c r="AN111" s="203"/>
    </row>
    <row r="112" spans="1:40">
      <c r="A112" s="200" t="s">
        <v>213</v>
      </c>
      <c r="AJ112" s="201"/>
      <c r="AK112" s="202"/>
      <c r="AL112" s="202"/>
      <c r="AM112" s="203"/>
      <c r="AN112" s="203"/>
    </row>
    <row r="113" spans="1:40">
      <c r="E113" s="533"/>
      <c r="F113" s="533"/>
      <c r="H113" s="527"/>
      <c r="I113" s="527"/>
      <c r="J113" s="526"/>
      <c r="K113" s="526"/>
      <c r="L113" s="531"/>
      <c r="M113" s="531"/>
      <c r="AJ113" s="201"/>
      <c r="AK113" s="202"/>
      <c r="AL113" s="202"/>
      <c r="AM113" s="203"/>
      <c r="AN113" s="203"/>
    </row>
    <row r="114" spans="1:40">
      <c r="A114" s="526" t="s">
        <v>209</v>
      </c>
      <c r="B114" s="526"/>
      <c r="C114" s="526"/>
      <c r="D114" s="526"/>
      <c r="F114" s="531">
        <v>0.25</v>
      </c>
      <c r="G114" s="531"/>
      <c r="H114" s="526" t="s">
        <v>214</v>
      </c>
      <c r="I114" s="526"/>
      <c r="J114" s="531">
        <f>J109</f>
        <v>8</v>
      </c>
      <c r="K114" s="531"/>
      <c r="L114" s="526" t="s">
        <v>197</v>
      </c>
      <c r="M114" s="526"/>
      <c r="N114" s="532">
        <f>F114*J114</f>
        <v>2</v>
      </c>
      <c r="O114" s="532"/>
      <c r="P114" s="200" t="s">
        <v>85</v>
      </c>
      <c r="AJ114" s="201"/>
      <c r="AK114" s="202"/>
      <c r="AL114" s="202"/>
      <c r="AM114" s="203"/>
      <c r="AN114" s="203"/>
    </row>
    <row r="115" spans="1:40">
      <c r="E115" s="205"/>
      <c r="F115" s="205"/>
      <c r="H115" s="219"/>
      <c r="I115" s="219"/>
      <c r="J115" s="215"/>
      <c r="K115" s="215"/>
      <c r="L115" s="214"/>
      <c r="M115" s="214"/>
      <c r="AJ115" s="201"/>
      <c r="AK115" s="202"/>
      <c r="AL115" s="202"/>
      <c r="AM115" s="203"/>
      <c r="AN115" s="203"/>
    </row>
    <row r="116" spans="1:40">
      <c r="A116" s="200" t="s">
        <v>191</v>
      </c>
      <c r="C116" s="527">
        <f>L110+N114</f>
        <v>38.229999999999997</v>
      </c>
      <c r="D116" s="527"/>
      <c r="E116" s="205" t="s">
        <v>85</v>
      </c>
      <c r="F116" s="205"/>
      <c r="H116" s="219"/>
      <c r="I116" s="219"/>
      <c r="J116" s="215"/>
      <c r="K116" s="215"/>
      <c r="L116" s="214"/>
      <c r="M116" s="214"/>
      <c r="AJ116" s="201"/>
      <c r="AK116" s="202"/>
      <c r="AL116" s="202"/>
      <c r="AM116" s="203"/>
      <c r="AN116" s="203"/>
    </row>
    <row r="117" spans="1:40">
      <c r="AJ117" s="201"/>
      <c r="AK117" s="202"/>
      <c r="AL117" s="202"/>
      <c r="AM117" s="203"/>
      <c r="AN117" s="203"/>
    </row>
    <row r="118" spans="1:40" ht="15">
      <c r="A118" s="542" t="s">
        <v>426</v>
      </c>
      <c r="B118" s="542"/>
      <c r="C118" s="542"/>
      <c r="D118" s="542"/>
      <c r="E118" s="542"/>
      <c r="F118" s="542"/>
      <c r="G118" s="542"/>
      <c r="H118" s="542"/>
      <c r="I118" s="542"/>
      <c r="J118" s="542"/>
      <c r="K118" s="542"/>
      <c r="L118" s="542"/>
      <c r="M118" s="542"/>
      <c r="N118" s="542"/>
      <c r="O118" s="542"/>
      <c r="P118" s="542"/>
      <c r="Q118" s="542"/>
      <c r="R118" s="542"/>
      <c r="S118" s="542"/>
      <c r="T118" s="542"/>
      <c r="U118" s="542"/>
      <c r="V118" s="542"/>
      <c r="W118" s="542"/>
      <c r="X118" s="542"/>
      <c r="Y118" s="542"/>
      <c r="Z118" s="542"/>
      <c r="AA118" s="542"/>
      <c r="AB118" s="542"/>
      <c r="AC118" s="542"/>
      <c r="AD118" s="542"/>
      <c r="AE118" s="542"/>
      <c r="AF118" s="542"/>
      <c r="AG118" s="542"/>
      <c r="AH118" s="542"/>
      <c r="AI118" s="542"/>
      <c r="AJ118" s="201"/>
      <c r="AK118" s="202"/>
      <c r="AL118" s="202"/>
      <c r="AM118" s="203"/>
      <c r="AN118" s="203"/>
    </row>
    <row r="119" spans="1:40">
      <c r="AJ119" s="201"/>
      <c r="AK119" s="202"/>
      <c r="AL119" s="202"/>
      <c r="AM119" s="203"/>
      <c r="AN119" s="203"/>
    </row>
    <row r="120" spans="1:40">
      <c r="A120" s="530" t="s">
        <v>215</v>
      </c>
      <c r="B120" s="530"/>
      <c r="C120" s="530"/>
      <c r="D120" s="530"/>
      <c r="E120" s="530"/>
      <c r="F120" s="530"/>
      <c r="G120" s="530"/>
      <c r="H120" s="530"/>
      <c r="I120" s="530"/>
      <c r="J120" s="530"/>
      <c r="K120" s="530"/>
      <c r="L120" s="530"/>
      <c r="M120" s="530"/>
      <c r="N120" s="530"/>
      <c r="O120" s="530"/>
      <c r="P120" s="530"/>
      <c r="Q120" s="530"/>
      <c r="R120" s="530"/>
      <c r="S120" s="530"/>
      <c r="T120" s="530"/>
      <c r="U120" s="530"/>
      <c r="V120" s="530"/>
      <c r="W120" s="530"/>
      <c r="X120" s="530"/>
      <c r="Y120" s="530"/>
      <c r="Z120" s="530"/>
      <c r="AA120" s="530"/>
      <c r="AB120" s="530"/>
      <c r="AC120" s="530"/>
      <c r="AD120" s="530"/>
      <c r="AE120" s="530"/>
      <c r="AF120" s="530"/>
      <c r="AG120" s="530"/>
      <c r="AH120" s="530"/>
      <c r="AI120" s="530"/>
      <c r="AJ120" s="201"/>
      <c r="AK120" s="202"/>
      <c r="AL120" s="202"/>
      <c r="AM120" s="203"/>
      <c r="AN120" s="203"/>
    </row>
    <row r="121" spans="1:40">
      <c r="AJ121" s="201"/>
      <c r="AK121" s="202"/>
      <c r="AL121" s="202"/>
      <c r="AM121" s="203"/>
      <c r="AN121" s="203"/>
    </row>
    <row r="122" spans="1:40">
      <c r="A122" s="200" t="s">
        <v>174</v>
      </c>
      <c r="C122" s="525">
        <f>F68</f>
        <v>182.93</v>
      </c>
      <c r="D122" s="525"/>
      <c r="E122" s="198" t="s">
        <v>175</v>
      </c>
      <c r="F122" s="200" t="s">
        <v>216</v>
      </c>
      <c r="G122" s="528">
        <v>0.15</v>
      </c>
      <c r="H122" s="528"/>
      <c r="I122" s="198" t="s">
        <v>217</v>
      </c>
      <c r="J122" s="525">
        <v>0.15</v>
      </c>
      <c r="K122" s="525"/>
      <c r="L122" s="214" t="s">
        <v>218</v>
      </c>
      <c r="N122" s="200"/>
      <c r="O122" s="200"/>
      <c r="Q122" s="543"/>
      <c r="R122" s="543"/>
      <c r="AJ122" s="201"/>
      <c r="AK122" s="202"/>
      <c r="AL122" s="202"/>
      <c r="AM122" s="203"/>
      <c r="AN122" s="203"/>
    </row>
    <row r="123" spans="1:40">
      <c r="A123" s="200" t="s">
        <v>174</v>
      </c>
      <c r="B123" s="543">
        <f>C122*(G122+J122)</f>
        <v>54.88</v>
      </c>
      <c r="C123" s="543"/>
      <c r="D123" s="543"/>
      <c r="E123" s="200" t="s">
        <v>85</v>
      </c>
      <c r="AJ123" s="201"/>
      <c r="AK123" s="202"/>
      <c r="AL123" s="202"/>
      <c r="AM123" s="203"/>
      <c r="AN123" s="203"/>
    </row>
    <row r="124" spans="1:40">
      <c r="AJ124" s="201"/>
      <c r="AK124" s="202"/>
      <c r="AL124" s="202"/>
      <c r="AM124" s="203"/>
      <c r="AN124" s="203"/>
    </row>
    <row r="125" spans="1:40" s="223" customFormat="1" ht="15" customHeight="1">
      <c r="A125" s="544" t="s">
        <v>427</v>
      </c>
      <c r="B125" s="544"/>
      <c r="C125" s="544"/>
      <c r="D125" s="544"/>
      <c r="E125" s="544"/>
      <c r="F125" s="544"/>
      <c r="G125" s="544"/>
      <c r="H125" s="544"/>
      <c r="I125" s="544"/>
      <c r="J125" s="544"/>
      <c r="K125" s="544"/>
      <c r="L125" s="544"/>
      <c r="M125" s="544"/>
      <c r="N125" s="544"/>
      <c r="O125" s="544"/>
      <c r="P125" s="544"/>
      <c r="Q125" s="544"/>
      <c r="R125" s="544"/>
      <c r="S125" s="544"/>
      <c r="T125" s="544"/>
      <c r="U125" s="544"/>
      <c r="V125" s="544"/>
      <c r="W125" s="544"/>
      <c r="X125" s="544"/>
      <c r="Y125" s="544"/>
      <c r="Z125" s="544"/>
      <c r="AA125" s="544"/>
      <c r="AB125" s="544"/>
      <c r="AC125" s="544"/>
      <c r="AD125" s="544"/>
      <c r="AE125" s="544"/>
      <c r="AF125" s="544"/>
      <c r="AG125" s="544"/>
      <c r="AH125" s="544"/>
      <c r="AI125" s="544"/>
      <c r="AJ125" s="220"/>
      <c r="AK125" s="221"/>
      <c r="AL125" s="221"/>
      <c r="AM125" s="222"/>
      <c r="AN125" s="222"/>
    </row>
    <row r="126" spans="1:40">
      <c r="AM126" s="203"/>
      <c r="AN126" s="203"/>
    </row>
    <row r="127" spans="1:40" ht="14.25" customHeight="1">
      <c r="A127" s="538" t="s">
        <v>490</v>
      </c>
      <c r="B127" s="538"/>
      <c r="C127" s="538"/>
      <c r="D127" s="538"/>
      <c r="E127" s="538"/>
      <c r="F127" s="538"/>
      <c r="G127" s="538"/>
      <c r="H127" s="538"/>
      <c r="I127" s="538"/>
      <c r="J127" s="538"/>
      <c r="K127" s="538"/>
      <c r="L127" s="538"/>
      <c r="M127" s="538"/>
      <c r="N127" s="538"/>
      <c r="O127" s="538"/>
      <c r="P127" s="538"/>
      <c r="Q127" s="538"/>
      <c r="R127" s="538"/>
      <c r="S127" s="538"/>
      <c r="T127" s="538"/>
      <c r="U127" s="538"/>
      <c r="V127" s="538"/>
      <c r="W127" s="538"/>
      <c r="X127" s="538"/>
      <c r="Y127" s="538"/>
      <c r="Z127" s="538"/>
      <c r="AA127" s="538"/>
      <c r="AB127" s="538"/>
      <c r="AC127" s="538"/>
      <c r="AD127" s="538"/>
      <c r="AE127" s="538"/>
      <c r="AF127" s="538"/>
      <c r="AG127" s="538"/>
      <c r="AH127" s="538"/>
      <c r="AI127" s="538"/>
      <c r="AM127" s="203"/>
      <c r="AN127" s="203"/>
    </row>
    <row r="128" spans="1:40">
      <c r="A128" s="538"/>
      <c r="B128" s="538"/>
      <c r="C128" s="538"/>
      <c r="D128" s="538"/>
      <c r="E128" s="538"/>
      <c r="F128" s="538"/>
      <c r="G128" s="538"/>
      <c r="H128" s="538"/>
      <c r="I128" s="538"/>
      <c r="J128" s="538"/>
      <c r="K128" s="538"/>
      <c r="L128" s="538"/>
      <c r="M128" s="538"/>
      <c r="N128" s="538"/>
      <c r="O128" s="538"/>
      <c r="P128" s="538"/>
      <c r="Q128" s="538"/>
      <c r="R128" s="538"/>
      <c r="S128" s="538"/>
      <c r="T128" s="538"/>
      <c r="U128" s="538"/>
      <c r="V128" s="538"/>
      <c r="W128" s="538"/>
      <c r="X128" s="538"/>
      <c r="Y128" s="538"/>
      <c r="Z128" s="538"/>
      <c r="AA128" s="538"/>
      <c r="AB128" s="538"/>
      <c r="AC128" s="538"/>
      <c r="AD128" s="538"/>
      <c r="AE128" s="538"/>
      <c r="AF128" s="538"/>
      <c r="AG128" s="538"/>
      <c r="AH128" s="538"/>
      <c r="AI128" s="538"/>
      <c r="AM128" s="203"/>
      <c r="AN128" s="203"/>
    </row>
    <row r="129" spans="1:40">
      <c r="AJ129" s="525" t="s">
        <v>220</v>
      </c>
      <c r="AK129" s="525"/>
      <c r="AL129" s="199" t="s">
        <v>221</v>
      </c>
      <c r="AM129" s="203"/>
      <c r="AN129" s="203"/>
    </row>
    <row r="130" spans="1:40">
      <c r="B130" s="200" t="s">
        <v>222</v>
      </c>
      <c r="AK130" s="198"/>
      <c r="AM130" s="203"/>
      <c r="AN130" s="203"/>
    </row>
    <row r="131" spans="1:40">
      <c r="A131" s="200" t="s">
        <v>174</v>
      </c>
      <c r="B131" s="527">
        <f>AJ132</f>
        <v>0</v>
      </c>
      <c r="C131" s="527"/>
      <c r="D131" s="200" t="s">
        <v>102</v>
      </c>
      <c r="F131" s="200" t="s">
        <v>175</v>
      </c>
      <c r="G131" s="525">
        <f>AL132</f>
        <v>0.28000000000000003</v>
      </c>
      <c r="H131" s="525"/>
      <c r="I131" s="200" t="s">
        <v>223</v>
      </c>
      <c r="AK131" s="198"/>
      <c r="AM131" s="203"/>
      <c r="AN131" s="203"/>
    </row>
    <row r="132" spans="1:40">
      <c r="A132" s="200" t="s">
        <v>224</v>
      </c>
      <c r="B132" s="543">
        <f>B131*G131</f>
        <v>0</v>
      </c>
      <c r="C132" s="543"/>
      <c r="D132" s="530" t="s">
        <v>85</v>
      </c>
      <c r="E132" s="530"/>
      <c r="AJ132" s="198">
        <v>0</v>
      </c>
      <c r="AL132" s="199">
        <f>PI()*0.3^2</f>
        <v>0.28000000000000003</v>
      </c>
      <c r="AM132" s="203"/>
      <c r="AN132" s="203"/>
    </row>
    <row r="134" spans="1:40">
      <c r="B134" s="200" t="s">
        <v>225</v>
      </c>
      <c r="AK134" s="198"/>
      <c r="AM134" s="203"/>
      <c r="AN134" s="203"/>
    </row>
    <row r="135" spans="1:40">
      <c r="A135" s="200" t="s">
        <v>174</v>
      </c>
      <c r="B135" s="527">
        <f>AJ136</f>
        <v>1</v>
      </c>
      <c r="C135" s="527"/>
      <c r="D135" s="200" t="s">
        <v>102</v>
      </c>
      <c r="F135" s="200" t="s">
        <v>175</v>
      </c>
      <c r="G135" s="525">
        <f>AL136</f>
        <v>0.2</v>
      </c>
      <c r="H135" s="525"/>
      <c r="I135" s="200" t="s">
        <v>223</v>
      </c>
      <c r="AJ135" s="525" t="s">
        <v>226</v>
      </c>
      <c r="AK135" s="525"/>
      <c r="AM135" s="203"/>
      <c r="AN135" s="203"/>
    </row>
    <row r="136" spans="1:40">
      <c r="A136" s="200" t="s">
        <v>224</v>
      </c>
      <c r="B136" s="543">
        <f>B135*G135</f>
        <v>0.2</v>
      </c>
      <c r="C136" s="543"/>
      <c r="D136" s="530" t="s">
        <v>85</v>
      </c>
      <c r="E136" s="530"/>
      <c r="AJ136" s="198">
        <v>1</v>
      </c>
      <c r="AL136" s="199">
        <f>PI()*0.25^2</f>
        <v>0.2</v>
      </c>
      <c r="AM136" s="203"/>
      <c r="AN136" s="203"/>
    </row>
    <row r="138" spans="1:40">
      <c r="A138" s="200" t="s">
        <v>185</v>
      </c>
      <c r="C138" s="525">
        <f>B132+B136</f>
        <v>0.2</v>
      </c>
      <c r="D138" s="528"/>
      <c r="E138" s="200" t="s">
        <v>85</v>
      </c>
    </row>
    <row r="140" spans="1:40" s="197" customFormat="1" ht="15">
      <c r="A140" s="539" t="s">
        <v>328</v>
      </c>
      <c r="B140" s="540"/>
      <c r="C140" s="540"/>
      <c r="D140" s="540"/>
      <c r="E140" s="540"/>
      <c r="F140" s="540"/>
      <c r="G140" s="540"/>
      <c r="H140" s="540"/>
      <c r="I140" s="540"/>
      <c r="J140" s="540"/>
      <c r="K140" s="540"/>
      <c r="L140" s="540"/>
      <c r="M140" s="540"/>
      <c r="N140" s="540"/>
      <c r="O140" s="540"/>
      <c r="P140" s="540"/>
      <c r="Q140" s="540"/>
      <c r="R140" s="540"/>
      <c r="S140" s="540"/>
      <c r="T140" s="540"/>
      <c r="U140" s="540"/>
      <c r="V140" s="540"/>
      <c r="W140" s="540"/>
      <c r="X140" s="540"/>
      <c r="Y140" s="540"/>
      <c r="Z140" s="540"/>
      <c r="AA140" s="540"/>
      <c r="AB140" s="540"/>
      <c r="AC140" s="540"/>
      <c r="AD140" s="540"/>
      <c r="AE140" s="540"/>
      <c r="AF140" s="540"/>
      <c r="AG140" s="540"/>
      <c r="AH140" s="540"/>
      <c r="AI140" s="541"/>
      <c r="AJ140" s="224"/>
      <c r="AK140" s="210"/>
      <c r="AL140" s="210"/>
    </row>
    <row r="141" spans="1:40" s="197" customFormat="1">
      <c r="A141" s="200"/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199"/>
      <c r="O141" s="199"/>
      <c r="P141" s="200"/>
      <c r="Q141" s="200"/>
      <c r="R141" s="200"/>
      <c r="S141" s="199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24"/>
      <c r="AK141" s="210"/>
      <c r="AL141" s="210"/>
    </row>
    <row r="142" spans="1:40" s="197" customFormat="1" ht="15">
      <c r="A142" s="542" t="s">
        <v>329</v>
      </c>
      <c r="B142" s="542"/>
      <c r="C142" s="542"/>
      <c r="D142" s="542"/>
      <c r="E142" s="542"/>
      <c r="F142" s="542"/>
      <c r="G142" s="542"/>
      <c r="H142" s="542"/>
      <c r="I142" s="542"/>
      <c r="J142" s="542"/>
      <c r="K142" s="542"/>
      <c r="L142" s="542"/>
      <c r="M142" s="542"/>
      <c r="N142" s="542"/>
      <c r="O142" s="542"/>
      <c r="P142" s="542"/>
      <c r="Q142" s="542"/>
      <c r="R142" s="542"/>
      <c r="S142" s="542"/>
      <c r="T142" s="542"/>
      <c r="U142" s="542"/>
      <c r="V142" s="542"/>
      <c r="W142" s="542"/>
      <c r="X142" s="542"/>
      <c r="Y142" s="542"/>
      <c r="Z142" s="542"/>
      <c r="AA142" s="542"/>
      <c r="AB142" s="542"/>
      <c r="AC142" s="542"/>
      <c r="AD142" s="542"/>
      <c r="AE142" s="542"/>
      <c r="AF142" s="542"/>
      <c r="AG142" s="542"/>
      <c r="AH142" s="542"/>
      <c r="AI142" s="542"/>
      <c r="AJ142" s="224"/>
      <c r="AK142" s="210"/>
      <c r="AL142" s="210"/>
    </row>
    <row r="143" spans="1:40" s="197" customFormat="1">
      <c r="A143" s="200"/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199"/>
      <c r="O143" s="199"/>
      <c r="P143" s="200"/>
      <c r="Q143" s="200"/>
      <c r="R143" s="200"/>
      <c r="S143" s="199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24"/>
      <c r="AK143" s="210"/>
      <c r="AL143" s="210"/>
    </row>
    <row r="144" spans="1:40" s="197" customFormat="1">
      <c r="A144" s="530" t="s">
        <v>335</v>
      </c>
      <c r="B144" s="530"/>
      <c r="C144" s="530"/>
      <c r="D144" s="530"/>
      <c r="E144" s="530"/>
      <c r="F144" s="530"/>
      <c r="G144" s="530"/>
      <c r="H144" s="530"/>
      <c r="I144" s="530"/>
      <c r="J144" s="530"/>
      <c r="K144" s="530"/>
      <c r="L144" s="530"/>
      <c r="M144" s="530"/>
      <c r="N144" s="530"/>
      <c r="O144" s="530"/>
      <c r="P144" s="530"/>
      <c r="Q144" s="530"/>
      <c r="R144" s="530"/>
      <c r="S144" s="530"/>
      <c r="T144" s="530"/>
      <c r="U144" s="530"/>
      <c r="V144" s="530"/>
      <c r="W144" s="530"/>
      <c r="X144" s="530"/>
      <c r="Y144" s="530"/>
      <c r="Z144" s="530"/>
      <c r="AA144" s="530"/>
      <c r="AB144" s="530"/>
      <c r="AC144" s="530"/>
      <c r="AD144" s="530"/>
      <c r="AE144" s="530"/>
      <c r="AF144" s="530"/>
      <c r="AG144" s="530"/>
      <c r="AH144" s="530"/>
      <c r="AI144" s="530"/>
      <c r="AJ144" s="224"/>
      <c r="AK144" s="210"/>
      <c r="AL144" s="210"/>
    </row>
    <row r="145" spans="1:38" s="197" customFormat="1">
      <c r="A145" s="200"/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00"/>
      <c r="AE145" s="200"/>
      <c r="AF145" s="200"/>
      <c r="AG145" s="200"/>
      <c r="AH145" s="200"/>
      <c r="AI145" s="200"/>
      <c r="AJ145" s="224"/>
      <c r="AK145" s="210"/>
      <c r="AL145" s="210"/>
    </row>
    <row r="146" spans="1:38" s="197" customFormat="1">
      <c r="A146" s="526" t="s">
        <v>350</v>
      </c>
      <c r="B146" s="526"/>
      <c r="C146" s="526"/>
      <c r="D146" s="526"/>
      <c r="E146" s="526"/>
      <c r="F146" s="526"/>
      <c r="G146" s="533">
        <v>22</v>
      </c>
      <c r="H146" s="533"/>
      <c r="I146" s="200" t="s">
        <v>196</v>
      </c>
      <c r="J146" s="531">
        <v>1</v>
      </c>
      <c r="K146" s="531"/>
      <c r="L146" s="528" t="s">
        <v>197</v>
      </c>
      <c r="M146" s="528"/>
      <c r="N146" s="531">
        <f>G146*J146</f>
        <v>22</v>
      </c>
      <c r="O146" s="531"/>
      <c r="P146" s="200" t="s">
        <v>148</v>
      </c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24"/>
      <c r="AK146" s="210"/>
      <c r="AL146" s="210"/>
    </row>
    <row r="147" spans="1:38" s="197" customFormat="1">
      <c r="A147" s="200"/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24"/>
      <c r="AK147" s="210"/>
      <c r="AL147" s="210"/>
    </row>
    <row r="148" spans="1:38" s="197" customFormat="1">
      <c r="A148" s="200" t="s">
        <v>191</v>
      </c>
      <c r="B148" s="200"/>
      <c r="C148" s="527">
        <f>SUM(N146:N146)</f>
        <v>22</v>
      </c>
      <c r="D148" s="527"/>
      <c r="E148" s="200" t="s">
        <v>148</v>
      </c>
      <c r="F148" s="200"/>
      <c r="G148" s="200"/>
      <c r="H148" s="200"/>
      <c r="I148" s="200"/>
      <c r="J148" s="200"/>
      <c r="K148" s="200"/>
      <c r="L148" s="200"/>
      <c r="M148" s="200"/>
      <c r="N148" s="199"/>
      <c r="O148" s="199"/>
      <c r="P148" s="200"/>
      <c r="Q148" s="200"/>
      <c r="R148" s="200"/>
      <c r="S148" s="199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24"/>
      <c r="AK148" s="210"/>
      <c r="AL148" s="210"/>
    </row>
    <row r="149" spans="1:38" s="197" customFormat="1">
      <c r="A149" s="200"/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199"/>
      <c r="O149" s="199"/>
      <c r="P149" s="200"/>
      <c r="Q149" s="200"/>
      <c r="R149" s="200"/>
      <c r="S149" s="199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24"/>
      <c r="AK149" s="210"/>
      <c r="AL149" s="210"/>
    </row>
    <row r="150" spans="1:38" s="197" customFormat="1" ht="29.25" customHeight="1">
      <c r="A150" s="529" t="s">
        <v>336</v>
      </c>
      <c r="B150" s="529"/>
      <c r="C150" s="529"/>
      <c r="D150" s="529"/>
      <c r="E150" s="529"/>
      <c r="F150" s="529"/>
      <c r="G150" s="529"/>
      <c r="H150" s="529"/>
      <c r="I150" s="529"/>
      <c r="J150" s="529"/>
      <c r="K150" s="529"/>
      <c r="L150" s="529"/>
      <c r="M150" s="529"/>
      <c r="N150" s="529"/>
      <c r="O150" s="529"/>
      <c r="P150" s="529"/>
      <c r="Q150" s="529"/>
      <c r="R150" s="529"/>
      <c r="S150" s="529"/>
      <c r="T150" s="529"/>
      <c r="U150" s="529"/>
      <c r="V150" s="529"/>
      <c r="W150" s="529"/>
      <c r="X150" s="529"/>
      <c r="Y150" s="529"/>
      <c r="Z150" s="529"/>
      <c r="AA150" s="529"/>
      <c r="AB150" s="529"/>
      <c r="AC150" s="529"/>
      <c r="AD150" s="529"/>
      <c r="AE150" s="529"/>
      <c r="AF150" s="529"/>
      <c r="AG150" s="529"/>
      <c r="AH150" s="529"/>
      <c r="AI150" s="529"/>
      <c r="AJ150" s="224"/>
      <c r="AK150" s="210"/>
      <c r="AL150" s="210"/>
    </row>
    <row r="151" spans="1:38" s="197" customFormat="1" ht="15">
      <c r="A151" s="385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5"/>
      <c r="P151" s="385"/>
      <c r="Q151" s="385"/>
      <c r="R151" s="385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5"/>
      <c r="AG151" s="385"/>
      <c r="AH151" s="385"/>
      <c r="AI151" s="385"/>
      <c r="AJ151" s="224"/>
      <c r="AK151" s="210"/>
      <c r="AL151" s="210"/>
    </row>
    <row r="152" spans="1:38" s="197" customFormat="1">
      <c r="A152" s="538" t="s">
        <v>337</v>
      </c>
      <c r="B152" s="538"/>
      <c r="C152" s="538"/>
      <c r="D152" s="538"/>
      <c r="E152" s="538"/>
      <c r="F152" s="538"/>
      <c r="G152" s="538"/>
      <c r="H152" s="538"/>
      <c r="I152" s="538"/>
      <c r="J152" s="538"/>
      <c r="K152" s="538"/>
      <c r="L152" s="538"/>
      <c r="M152" s="538"/>
      <c r="N152" s="538"/>
      <c r="O152" s="538"/>
      <c r="P152" s="538"/>
      <c r="Q152" s="538"/>
      <c r="R152" s="538"/>
      <c r="S152" s="538"/>
      <c r="T152" s="538"/>
      <c r="U152" s="538"/>
      <c r="V152" s="538"/>
      <c r="W152" s="538"/>
      <c r="X152" s="538"/>
      <c r="Y152" s="538"/>
      <c r="Z152" s="538"/>
      <c r="AA152" s="538"/>
      <c r="AB152" s="538"/>
      <c r="AC152" s="538"/>
      <c r="AD152" s="538"/>
      <c r="AE152" s="538"/>
      <c r="AF152" s="538"/>
      <c r="AG152" s="538"/>
      <c r="AH152" s="538"/>
      <c r="AI152" s="538"/>
      <c r="AJ152" s="224"/>
      <c r="AK152" s="210"/>
      <c r="AL152" s="210"/>
    </row>
    <row r="153" spans="1:38" s="197" customFormat="1" ht="15">
      <c r="A153" s="385"/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5"/>
      <c r="P153" s="385"/>
      <c r="Q153" s="385"/>
      <c r="R153" s="385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5"/>
      <c r="AG153" s="385"/>
      <c r="AH153" s="385"/>
      <c r="AI153" s="385"/>
      <c r="AL153" s="210"/>
    </row>
    <row r="154" spans="1:38" s="197" customFormat="1">
      <c r="A154" s="200"/>
      <c r="B154" s="200"/>
      <c r="C154" s="200"/>
      <c r="D154" s="200"/>
      <c r="E154" s="200"/>
      <c r="F154" s="200"/>
      <c r="G154" s="528" t="s">
        <v>81</v>
      </c>
      <c r="H154" s="528"/>
      <c r="I154" s="200"/>
      <c r="J154" s="528" t="s">
        <v>338</v>
      </c>
      <c r="K154" s="528"/>
      <c r="L154" s="200"/>
      <c r="M154" s="200"/>
      <c r="N154" s="525" t="s">
        <v>339</v>
      </c>
      <c r="O154" s="525"/>
      <c r="P154" s="200"/>
      <c r="Q154" s="200"/>
      <c r="R154" s="528" t="s">
        <v>340</v>
      </c>
      <c r="S154" s="528"/>
      <c r="T154" s="200"/>
      <c r="U154" s="200"/>
      <c r="V154" s="528" t="s">
        <v>293</v>
      </c>
      <c r="W154" s="528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24"/>
      <c r="AK154" s="210"/>
      <c r="AL154" s="210"/>
    </row>
    <row r="155" spans="1:38" s="197" customFormat="1">
      <c r="A155" s="526" t="s">
        <v>350</v>
      </c>
      <c r="B155" s="526"/>
      <c r="C155" s="526"/>
      <c r="D155" s="526"/>
      <c r="E155" s="526"/>
      <c r="F155" s="526"/>
      <c r="G155" s="531">
        <f>C148</f>
        <v>22</v>
      </c>
      <c r="H155" s="531"/>
      <c r="I155" s="200" t="s">
        <v>196</v>
      </c>
      <c r="J155" s="531">
        <v>1.5</v>
      </c>
      <c r="K155" s="531"/>
      <c r="L155" s="526" t="s">
        <v>196</v>
      </c>
      <c r="M155" s="526"/>
      <c r="N155" s="532">
        <f>1.2+0.15</f>
        <v>1.35</v>
      </c>
      <c r="O155" s="532"/>
      <c r="P155" s="526" t="s">
        <v>196</v>
      </c>
      <c r="Q155" s="526"/>
      <c r="R155" s="531">
        <v>1</v>
      </c>
      <c r="S155" s="531"/>
      <c r="T155" s="526" t="s">
        <v>197</v>
      </c>
      <c r="U155" s="526"/>
      <c r="V155" s="527">
        <f>G155*J155*N155*R155</f>
        <v>44.55</v>
      </c>
      <c r="W155" s="527"/>
      <c r="X155" s="225" t="s">
        <v>58</v>
      </c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24"/>
      <c r="AK155" s="210"/>
      <c r="AL155" s="210"/>
    </row>
    <row r="156" spans="1:38" s="197" customFormat="1">
      <c r="A156" s="200" t="s">
        <v>341</v>
      </c>
      <c r="B156" s="200"/>
      <c r="C156" s="200"/>
      <c r="D156" s="200"/>
      <c r="E156" s="200"/>
      <c r="F156" s="200"/>
      <c r="G156" s="531">
        <v>1.5</v>
      </c>
      <c r="H156" s="531"/>
      <c r="I156" s="200" t="s">
        <v>196</v>
      </c>
      <c r="J156" s="531">
        <v>1.5</v>
      </c>
      <c r="K156" s="531"/>
      <c r="L156" s="526" t="s">
        <v>196</v>
      </c>
      <c r="M156" s="526"/>
      <c r="N156" s="532">
        <f>1.2+0.15</f>
        <v>1.35</v>
      </c>
      <c r="O156" s="532"/>
      <c r="P156" s="526" t="s">
        <v>196</v>
      </c>
      <c r="Q156" s="526"/>
      <c r="R156" s="531">
        <v>2</v>
      </c>
      <c r="S156" s="531"/>
      <c r="T156" s="526" t="s">
        <v>197</v>
      </c>
      <c r="U156" s="526"/>
      <c r="V156" s="527">
        <f t="shared" ref="V156" si="2">G156*J156*N156*R156</f>
        <v>6.08</v>
      </c>
      <c r="W156" s="527"/>
      <c r="X156" s="225" t="s">
        <v>58</v>
      </c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24"/>
      <c r="AK156" s="210"/>
      <c r="AL156" s="210"/>
    </row>
    <row r="157" spans="1:38" s="197" customFormat="1">
      <c r="A157" s="200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199"/>
      <c r="O157" s="199"/>
      <c r="P157" s="200"/>
      <c r="Q157" s="200"/>
      <c r="R157" s="200"/>
      <c r="S157" s="199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24"/>
      <c r="AK157" s="210"/>
      <c r="AL157" s="210"/>
    </row>
    <row r="158" spans="1:38" s="197" customFormat="1">
      <c r="A158" s="200" t="s">
        <v>191</v>
      </c>
      <c r="B158" s="200"/>
      <c r="C158" s="531">
        <f>SUM(V155:W156)</f>
        <v>50.63</v>
      </c>
      <c r="D158" s="533"/>
      <c r="E158" s="200" t="s">
        <v>58</v>
      </c>
      <c r="F158" s="200"/>
      <c r="G158" s="200"/>
      <c r="H158" s="200"/>
      <c r="I158" s="200"/>
      <c r="J158" s="200"/>
      <c r="K158" s="200"/>
      <c r="L158" s="200"/>
      <c r="M158" s="200"/>
      <c r="N158" s="199"/>
      <c r="O158" s="199"/>
      <c r="P158" s="200"/>
      <c r="Q158" s="200"/>
      <c r="R158" s="200"/>
      <c r="S158" s="199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24"/>
      <c r="AK158" s="210"/>
      <c r="AL158" s="210"/>
    </row>
    <row r="159" spans="1:38" s="197" customFormat="1">
      <c r="A159" s="200"/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199"/>
      <c r="O159" s="199"/>
      <c r="P159" s="200"/>
      <c r="Q159" s="200"/>
      <c r="R159" s="200"/>
      <c r="S159" s="199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24"/>
      <c r="AK159" s="210"/>
      <c r="AL159" s="210"/>
    </row>
    <row r="160" spans="1:38" s="197" customFormat="1" ht="15">
      <c r="A160" s="534" t="s">
        <v>352</v>
      </c>
      <c r="B160" s="534"/>
      <c r="C160" s="534"/>
      <c r="D160" s="534"/>
      <c r="E160" s="534"/>
      <c r="F160" s="534"/>
      <c r="G160" s="534"/>
      <c r="H160" s="534"/>
      <c r="I160" s="534"/>
      <c r="J160" s="534"/>
      <c r="K160" s="534"/>
      <c r="L160" s="534"/>
      <c r="M160" s="534"/>
      <c r="N160" s="534"/>
      <c r="O160" s="534"/>
      <c r="P160" s="534"/>
      <c r="Q160" s="534"/>
      <c r="R160" s="534"/>
      <c r="S160" s="534"/>
      <c r="T160" s="534"/>
      <c r="U160" s="534"/>
      <c r="V160" s="534"/>
      <c r="W160" s="534"/>
      <c r="X160" s="534"/>
      <c r="Y160" s="534"/>
      <c r="Z160" s="534"/>
      <c r="AA160" s="534"/>
      <c r="AB160" s="534"/>
      <c r="AC160" s="534"/>
      <c r="AD160" s="534"/>
      <c r="AE160" s="534"/>
      <c r="AF160" s="534"/>
      <c r="AG160" s="534"/>
      <c r="AH160" s="534"/>
      <c r="AI160" s="534"/>
      <c r="AJ160" s="224"/>
      <c r="AK160" s="210"/>
      <c r="AL160" s="210"/>
    </row>
    <row r="161" spans="1:38" s="197" customFormat="1">
      <c r="A161" s="200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199"/>
      <c r="O161" s="199"/>
      <c r="P161" s="200"/>
      <c r="Q161" s="200"/>
      <c r="R161" s="200"/>
      <c r="S161" s="199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24"/>
      <c r="AK161" s="210"/>
      <c r="AL161" s="210"/>
    </row>
    <row r="162" spans="1:38" s="197" customFormat="1">
      <c r="A162" s="200"/>
      <c r="B162" s="200"/>
      <c r="C162" s="200"/>
      <c r="D162" s="200"/>
      <c r="E162" s="200"/>
      <c r="F162" s="200"/>
      <c r="G162" s="528" t="s">
        <v>81</v>
      </c>
      <c r="H162" s="528"/>
      <c r="I162" s="200"/>
      <c r="J162" s="525" t="s">
        <v>339</v>
      </c>
      <c r="K162" s="525"/>
      <c r="L162" s="200"/>
      <c r="M162" s="200"/>
      <c r="N162" s="528" t="s">
        <v>340</v>
      </c>
      <c r="O162" s="528"/>
      <c r="P162" s="200"/>
      <c r="Q162" s="200"/>
      <c r="R162" s="528" t="s">
        <v>293</v>
      </c>
      <c r="S162" s="528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24"/>
      <c r="AG162" s="210"/>
      <c r="AH162" s="210"/>
    </row>
    <row r="163" spans="1:38" s="197" customFormat="1">
      <c r="A163" s="526" t="s">
        <v>350</v>
      </c>
      <c r="B163" s="526"/>
      <c r="C163" s="526"/>
      <c r="D163" s="526"/>
      <c r="E163" s="526"/>
      <c r="F163" s="526"/>
      <c r="G163" s="531">
        <f>G155</f>
        <v>22</v>
      </c>
      <c r="H163" s="531"/>
      <c r="I163" s="200" t="s">
        <v>196</v>
      </c>
      <c r="J163" s="532">
        <f>N155</f>
        <v>1.35</v>
      </c>
      <c r="K163" s="532"/>
      <c r="L163" s="526" t="s">
        <v>196</v>
      </c>
      <c r="M163" s="526"/>
      <c r="N163" s="531">
        <f>R155*2</f>
        <v>2</v>
      </c>
      <c r="O163" s="531"/>
      <c r="P163" s="526" t="s">
        <v>197</v>
      </c>
      <c r="Q163" s="526"/>
      <c r="R163" s="527">
        <f>G163*J163*N163</f>
        <v>59.4</v>
      </c>
      <c r="S163" s="527"/>
      <c r="T163" s="225" t="s">
        <v>85</v>
      </c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24"/>
      <c r="AG163" s="210"/>
      <c r="AH163" s="210"/>
    </row>
    <row r="164" spans="1:38" s="197" customFormat="1">
      <c r="A164" s="200" t="s">
        <v>341</v>
      </c>
      <c r="B164" s="200"/>
      <c r="C164" s="200"/>
      <c r="D164" s="200"/>
      <c r="E164" s="200"/>
      <c r="F164" s="200"/>
      <c r="G164" s="531">
        <v>1.5</v>
      </c>
      <c r="H164" s="531"/>
      <c r="I164" s="200" t="s">
        <v>196</v>
      </c>
      <c r="J164" s="532">
        <f>N156</f>
        <v>1.35</v>
      </c>
      <c r="K164" s="532"/>
      <c r="L164" s="526" t="s">
        <v>196</v>
      </c>
      <c r="M164" s="526"/>
      <c r="N164" s="531">
        <f>R156*2</f>
        <v>4</v>
      </c>
      <c r="O164" s="531"/>
      <c r="P164" s="526" t="s">
        <v>197</v>
      </c>
      <c r="Q164" s="526"/>
      <c r="R164" s="527">
        <f t="shared" ref="R164" si="3">G164*J164*N164</f>
        <v>8.1</v>
      </c>
      <c r="S164" s="527"/>
      <c r="T164" s="225" t="s">
        <v>85</v>
      </c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24"/>
      <c r="AG164" s="210"/>
      <c r="AH164" s="210"/>
    </row>
    <row r="165" spans="1:38" s="197" customFormat="1">
      <c r="A165" s="200"/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199"/>
      <c r="O165" s="199"/>
      <c r="P165" s="200"/>
      <c r="Q165" s="200"/>
      <c r="R165" s="200"/>
      <c r="S165" s="199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/>
      <c r="AD165" s="200"/>
      <c r="AE165" s="200"/>
      <c r="AF165" s="200"/>
      <c r="AG165" s="200"/>
      <c r="AH165" s="200"/>
      <c r="AI165" s="200"/>
      <c r="AJ165" s="224"/>
      <c r="AK165" s="210"/>
      <c r="AL165" s="210"/>
    </row>
    <row r="166" spans="1:38" s="197" customFormat="1">
      <c r="A166" s="200" t="s">
        <v>191</v>
      </c>
      <c r="B166" s="200"/>
      <c r="C166" s="531">
        <f>SUM(R163:S164)</f>
        <v>67.5</v>
      </c>
      <c r="D166" s="533"/>
      <c r="E166" s="200" t="s">
        <v>85</v>
      </c>
      <c r="F166" s="200"/>
      <c r="G166" s="200"/>
      <c r="H166" s="200"/>
      <c r="I166" s="200"/>
      <c r="J166" s="200"/>
      <c r="K166" s="200"/>
      <c r="L166" s="200"/>
      <c r="M166" s="200"/>
      <c r="N166" s="199"/>
      <c r="O166" s="199"/>
      <c r="P166" s="200"/>
      <c r="Q166" s="200"/>
      <c r="R166" s="200"/>
      <c r="S166" s="199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24"/>
      <c r="AK166" s="210"/>
      <c r="AL166" s="210"/>
    </row>
    <row r="167" spans="1:38" s="197" customFormat="1">
      <c r="A167" s="200"/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199"/>
      <c r="O167" s="199"/>
      <c r="P167" s="200"/>
      <c r="Q167" s="200"/>
      <c r="R167" s="200"/>
      <c r="S167" s="199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24"/>
      <c r="AK167" s="210"/>
      <c r="AL167" s="210"/>
    </row>
    <row r="168" spans="1:38" s="197" customFormat="1" ht="15">
      <c r="A168" s="534" t="s">
        <v>354</v>
      </c>
      <c r="B168" s="534"/>
      <c r="C168" s="534"/>
      <c r="D168" s="534"/>
      <c r="E168" s="534"/>
      <c r="F168" s="534"/>
      <c r="G168" s="534"/>
      <c r="H168" s="534"/>
      <c r="I168" s="534"/>
      <c r="J168" s="534"/>
      <c r="K168" s="534"/>
      <c r="L168" s="534"/>
      <c r="M168" s="534"/>
      <c r="N168" s="534"/>
      <c r="O168" s="534"/>
      <c r="P168" s="534"/>
      <c r="Q168" s="534"/>
      <c r="R168" s="534"/>
      <c r="S168" s="534"/>
      <c r="T168" s="534"/>
      <c r="U168" s="534"/>
      <c r="V168" s="534"/>
      <c r="W168" s="534"/>
      <c r="X168" s="534"/>
      <c r="Y168" s="534"/>
      <c r="Z168" s="534"/>
      <c r="AA168" s="534"/>
      <c r="AB168" s="534"/>
      <c r="AC168" s="534"/>
      <c r="AD168" s="534"/>
      <c r="AE168" s="534"/>
      <c r="AF168" s="534"/>
      <c r="AG168" s="534"/>
      <c r="AH168" s="534"/>
      <c r="AI168" s="534"/>
      <c r="AJ168" s="224"/>
      <c r="AK168" s="210"/>
      <c r="AL168" s="210"/>
    </row>
    <row r="169" spans="1:38" s="197" customFormat="1">
      <c r="A169" s="200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199"/>
      <c r="O169" s="199"/>
      <c r="P169" s="200"/>
      <c r="Q169" s="200"/>
      <c r="R169" s="200"/>
      <c r="S169" s="199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24"/>
      <c r="AK169" s="210"/>
      <c r="AL169" s="210"/>
    </row>
    <row r="170" spans="1:38" s="197" customFormat="1">
      <c r="A170" s="526" t="s">
        <v>417</v>
      </c>
      <c r="B170" s="526"/>
      <c r="C170" s="526"/>
      <c r="D170" s="526"/>
      <c r="E170" s="526"/>
      <c r="F170" s="526"/>
      <c r="G170" s="526"/>
      <c r="H170" s="526"/>
      <c r="I170" s="526"/>
      <c r="J170" s="526"/>
      <c r="K170" s="526"/>
      <c r="L170" s="526"/>
      <c r="M170" s="526"/>
      <c r="N170" s="526"/>
      <c r="O170" s="526"/>
      <c r="P170" s="526"/>
      <c r="Q170" s="526"/>
      <c r="R170" s="526"/>
      <c r="S170" s="526"/>
      <c r="T170" s="526"/>
      <c r="U170" s="526"/>
      <c r="V170" s="526"/>
      <c r="W170" s="526"/>
      <c r="X170" s="526"/>
      <c r="Y170" s="526"/>
      <c r="Z170" s="526"/>
      <c r="AA170" s="526"/>
      <c r="AB170" s="526"/>
      <c r="AC170" s="526"/>
      <c r="AD170" s="526"/>
      <c r="AE170" s="526"/>
      <c r="AF170" s="526"/>
      <c r="AG170" s="526"/>
      <c r="AH170" s="526"/>
      <c r="AI170" s="526"/>
      <c r="AJ170" s="224"/>
      <c r="AK170" s="210"/>
      <c r="AL170" s="210"/>
    </row>
    <row r="171" spans="1:38" s="197" customFormat="1">
      <c r="A171" s="200"/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199"/>
      <c r="O171" s="199"/>
      <c r="P171" s="200"/>
      <c r="Q171" s="200"/>
      <c r="R171" s="200"/>
      <c r="S171" s="199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24"/>
      <c r="AK171" s="210"/>
      <c r="AL171" s="210"/>
    </row>
    <row r="172" spans="1:38" s="197" customFormat="1">
      <c r="A172" s="200"/>
      <c r="B172" s="200"/>
      <c r="C172" s="200"/>
      <c r="D172" s="200"/>
      <c r="E172" s="200"/>
      <c r="F172" s="200"/>
      <c r="G172" s="528" t="s">
        <v>81</v>
      </c>
      <c r="H172" s="528"/>
      <c r="I172" s="200"/>
      <c r="J172" s="528" t="s">
        <v>338</v>
      </c>
      <c r="K172" s="528"/>
      <c r="L172" s="200"/>
      <c r="M172" s="200"/>
      <c r="N172" s="525" t="s">
        <v>339</v>
      </c>
      <c r="O172" s="525"/>
      <c r="P172" s="200"/>
      <c r="Q172" s="200"/>
      <c r="R172" s="528" t="s">
        <v>340</v>
      </c>
      <c r="S172" s="528"/>
      <c r="T172" s="200"/>
      <c r="U172" s="200"/>
      <c r="V172" s="528" t="s">
        <v>293</v>
      </c>
      <c r="W172" s="528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24"/>
      <c r="AK172" s="210"/>
      <c r="AL172" s="210"/>
    </row>
    <row r="173" spans="1:38" s="197" customFormat="1">
      <c r="A173" s="526" t="s">
        <v>350</v>
      </c>
      <c r="B173" s="526"/>
      <c r="C173" s="526"/>
      <c r="D173" s="526"/>
      <c r="E173" s="526"/>
      <c r="F173" s="526"/>
      <c r="G173" s="531">
        <f>G163</f>
        <v>22</v>
      </c>
      <c r="H173" s="531"/>
      <c r="I173" s="200" t="s">
        <v>196</v>
      </c>
      <c r="J173" s="531">
        <v>1.5</v>
      </c>
      <c r="K173" s="531"/>
      <c r="L173" s="526" t="s">
        <v>196</v>
      </c>
      <c r="M173" s="526"/>
      <c r="N173" s="532">
        <v>0.15</v>
      </c>
      <c r="O173" s="532"/>
      <c r="P173" s="526" t="s">
        <v>196</v>
      </c>
      <c r="Q173" s="526"/>
      <c r="R173" s="531">
        <v>1</v>
      </c>
      <c r="S173" s="531"/>
      <c r="T173" s="526" t="s">
        <v>197</v>
      </c>
      <c r="U173" s="526"/>
      <c r="V173" s="527">
        <f>G173*J173*N173*R173</f>
        <v>4.95</v>
      </c>
      <c r="W173" s="527"/>
      <c r="X173" s="225" t="s">
        <v>58</v>
      </c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24"/>
      <c r="AK173" s="210"/>
      <c r="AL173" s="210"/>
    </row>
    <row r="174" spans="1:38" s="197" customFormat="1">
      <c r="A174" s="215"/>
      <c r="B174" s="215"/>
      <c r="C174" s="215"/>
      <c r="D174" s="215"/>
      <c r="E174" s="215"/>
      <c r="F174" s="215"/>
      <c r="G174" s="205"/>
      <c r="H174" s="205"/>
      <c r="I174" s="200"/>
      <c r="J174" s="216"/>
      <c r="K174" s="216"/>
      <c r="L174" s="215"/>
      <c r="M174" s="215"/>
      <c r="N174" s="204"/>
      <c r="O174" s="204"/>
      <c r="P174" s="215"/>
      <c r="Q174" s="215"/>
      <c r="R174" s="216"/>
      <c r="S174" s="216"/>
      <c r="T174" s="215"/>
      <c r="U174" s="215"/>
      <c r="V174" s="219"/>
      <c r="W174" s="219"/>
      <c r="X174" s="225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24"/>
      <c r="AK174" s="210"/>
      <c r="AL174" s="210"/>
    </row>
    <row r="175" spans="1:38" s="197" customFormat="1">
      <c r="A175" s="200" t="s">
        <v>191</v>
      </c>
      <c r="B175" s="200"/>
      <c r="C175" s="531">
        <f>SUM(V173:W173)</f>
        <v>4.95</v>
      </c>
      <c r="D175" s="533"/>
      <c r="E175" s="200" t="s">
        <v>58</v>
      </c>
      <c r="F175" s="200"/>
      <c r="G175" s="200"/>
      <c r="H175" s="200"/>
      <c r="I175" s="200"/>
      <c r="J175" s="200"/>
      <c r="K175" s="200"/>
      <c r="L175" s="200"/>
      <c r="M175" s="200"/>
      <c r="N175" s="199"/>
      <c r="O175" s="199"/>
      <c r="P175" s="200"/>
      <c r="Q175" s="200"/>
      <c r="R175" s="200"/>
      <c r="S175" s="199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24"/>
      <c r="AK175" s="210"/>
      <c r="AL175" s="210"/>
    </row>
    <row r="176" spans="1:38" s="197" customFormat="1">
      <c r="A176" s="200"/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199"/>
      <c r="O176" s="199"/>
      <c r="P176" s="200"/>
      <c r="Q176" s="200"/>
      <c r="R176" s="200"/>
      <c r="S176" s="199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24"/>
      <c r="AK176" s="210"/>
      <c r="AL176" s="210"/>
    </row>
    <row r="177" spans="1:41" s="197" customFormat="1" ht="29.25" customHeight="1">
      <c r="A177" s="529" t="s">
        <v>414</v>
      </c>
      <c r="B177" s="529"/>
      <c r="C177" s="529"/>
      <c r="D177" s="529"/>
      <c r="E177" s="529"/>
      <c r="F177" s="529"/>
      <c r="G177" s="529"/>
      <c r="H177" s="529"/>
      <c r="I177" s="529"/>
      <c r="J177" s="529"/>
      <c r="K177" s="529"/>
      <c r="L177" s="529"/>
      <c r="M177" s="529"/>
      <c r="N177" s="529"/>
      <c r="O177" s="529"/>
      <c r="P177" s="529"/>
      <c r="Q177" s="529"/>
      <c r="R177" s="529"/>
      <c r="S177" s="529"/>
      <c r="T177" s="529"/>
      <c r="U177" s="529"/>
      <c r="V177" s="529"/>
      <c r="W177" s="529"/>
      <c r="X177" s="529"/>
      <c r="Y177" s="529"/>
      <c r="Z177" s="529"/>
      <c r="AA177" s="529"/>
      <c r="AB177" s="529"/>
      <c r="AC177" s="529"/>
      <c r="AD177" s="529"/>
      <c r="AE177" s="529"/>
      <c r="AF177" s="529"/>
      <c r="AG177" s="529"/>
      <c r="AH177" s="529"/>
      <c r="AI177" s="529"/>
      <c r="AJ177" s="224"/>
      <c r="AK177" s="210"/>
      <c r="AL177" s="210"/>
    </row>
    <row r="178" spans="1:41" s="197" customFormat="1">
      <c r="A178" s="200"/>
      <c r="B178" s="200"/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199"/>
      <c r="O178" s="199"/>
      <c r="P178" s="200"/>
      <c r="Q178" s="200"/>
      <c r="R178" s="200"/>
      <c r="S178" s="199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24"/>
      <c r="AK178" s="210"/>
      <c r="AL178" s="210"/>
    </row>
    <row r="179" spans="1:41" s="197" customFormat="1">
      <c r="A179" s="530" t="s">
        <v>330</v>
      </c>
      <c r="B179" s="530"/>
      <c r="C179" s="530"/>
      <c r="D179" s="530"/>
      <c r="E179" s="530"/>
      <c r="F179" s="530"/>
      <c r="G179" s="530"/>
      <c r="H179" s="530"/>
      <c r="I179" s="530"/>
      <c r="J179" s="530"/>
      <c r="K179" s="530"/>
      <c r="L179" s="530"/>
      <c r="M179" s="530"/>
      <c r="N179" s="530"/>
      <c r="O179" s="530"/>
      <c r="P179" s="530"/>
      <c r="Q179" s="530"/>
      <c r="R179" s="530"/>
      <c r="S179" s="530"/>
      <c r="T179" s="530"/>
      <c r="U179" s="530"/>
      <c r="V179" s="530"/>
      <c r="W179" s="530"/>
      <c r="X179" s="530"/>
      <c r="Y179" s="530"/>
      <c r="Z179" s="530"/>
      <c r="AA179" s="530"/>
      <c r="AB179" s="530"/>
      <c r="AC179" s="530"/>
      <c r="AD179" s="530"/>
      <c r="AE179" s="530"/>
      <c r="AF179" s="530"/>
      <c r="AG179" s="530"/>
      <c r="AH179" s="530"/>
      <c r="AI179" s="530"/>
      <c r="AJ179" s="224"/>
      <c r="AK179" s="210"/>
      <c r="AL179" s="210"/>
    </row>
    <row r="180" spans="1:41" s="197" customFormat="1">
      <c r="A180" s="200"/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199"/>
      <c r="O180" s="199"/>
      <c r="P180" s="200"/>
      <c r="Q180" s="200"/>
      <c r="R180" s="200"/>
      <c r="S180" s="199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26"/>
      <c r="AK180" s="210"/>
      <c r="AL180" s="210"/>
    </row>
    <row r="181" spans="1:41" s="197" customFormat="1">
      <c r="A181" s="526" t="s">
        <v>350</v>
      </c>
      <c r="B181" s="526"/>
      <c r="C181" s="526"/>
      <c r="D181" s="526"/>
      <c r="E181" s="526"/>
      <c r="F181" s="526"/>
      <c r="G181" s="531">
        <f>G173</f>
        <v>22</v>
      </c>
      <c r="H181" s="531"/>
      <c r="I181" s="200" t="s">
        <v>148</v>
      </c>
      <c r="J181" s="225"/>
      <c r="K181" s="225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24"/>
      <c r="AK181" s="210"/>
      <c r="AL181" s="210"/>
    </row>
    <row r="182" spans="1:41" s="197" customFormat="1">
      <c r="A182" s="215"/>
      <c r="B182" s="215"/>
      <c r="C182" s="215"/>
      <c r="D182" s="215"/>
      <c r="E182" s="215"/>
      <c r="F182" s="215"/>
      <c r="G182" s="205"/>
      <c r="H182" s="205"/>
      <c r="I182" s="200"/>
      <c r="J182" s="216"/>
      <c r="K182" s="216"/>
      <c r="L182" s="214"/>
      <c r="M182" s="214"/>
      <c r="N182" s="200"/>
      <c r="O182" s="200"/>
      <c r="P182" s="200"/>
      <c r="Q182" s="200"/>
      <c r="R182" s="200"/>
      <c r="S182" s="200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24"/>
      <c r="AK182" s="210"/>
      <c r="AL182" s="210"/>
    </row>
    <row r="183" spans="1:41" s="197" customFormat="1">
      <c r="A183" s="526" t="s">
        <v>191</v>
      </c>
      <c r="B183" s="526"/>
      <c r="C183" s="531">
        <f>SUM(G181:H181)</f>
        <v>22</v>
      </c>
      <c r="D183" s="531"/>
      <c r="E183" s="215" t="s">
        <v>148</v>
      </c>
      <c r="F183" s="215"/>
      <c r="G183" s="205"/>
      <c r="H183" s="205"/>
      <c r="I183" s="200"/>
      <c r="J183" s="216"/>
      <c r="K183" s="216"/>
      <c r="L183" s="214"/>
      <c r="M183" s="214"/>
      <c r="N183" s="200"/>
      <c r="O183" s="200"/>
      <c r="P183" s="200"/>
      <c r="Q183" s="200"/>
      <c r="R183" s="200"/>
      <c r="S183" s="200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24"/>
      <c r="AK183" s="210"/>
      <c r="AL183" s="210"/>
    </row>
    <row r="184" spans="1:41" s="197" customFormat="1">
      <c r="A184" s="215"/>
      <c r="B184" s="215"/>
      <c r="C184" s="215"/>
      <c r="D184" s="215"/>
      <c r="E184" s="215"/>
      <c r="F184" s="215"/>
      <c r="G184" s="205"/>
      <c r="H184" s="205"/>
      <c r="I184" s="200"/>
      <c r="J184" s="216"/>
      <c r="K184" s="216"/>
      <c r="L184" s="214"/>
      <c r="M184" s="214"/>
      <c r="N184" s="200"/>
      <c r="O184" s="200"/>
      <c r="P184" s="200"/>
      <c r="Q184" s="200"/>
      <c r="R184" s="200"/>
      <c r="S184" s="200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24"/>
      <c r="AK184" s="210"/>
      <c r="AL184" s="210"/>
    </row>
    <row r="185" spans="1:41" s="197" customFormat="1" ht="15">
      <c r="A185" s="534" t="s">
        <v>415</v>
      </c>
      <c r="B185" s="534"/>
      <c r="C185" s="534"/>
      <c r="D185" s="534"/>
      <c r="E185" s="534"/>
      <c r="F185" s="534"/>
      <c r="G185" s="534"/>
      <c r="H185" s="534"/>
      <c r="I185" s="534"/>
      <c r="J185" s="534"/>
      <c r="K185" s="534"/>
      <c r="L185" s="534"/>
      <c r="M185" s="534"/>
      <c r="N185" s="534"/>
      <c r="O185" s="534"/>
      <c r="P185" s="534"/>
      <c r="Q185" s="534"/>
      <c r="R185" s="534"/>
      <c r="S185" s="534"/>
      <c r="T185" s="534"/>
      <c r="U185" s="534"/>
      <c r="V185" s="534"/>
      <c r="W185" s="534"/>
      <c r="X185" s="534"/>
      <c r="Y185" s="534"/>
      <c r="Z185" s="534"/>
      <c r="AA185" s="534"/>
      <c r="AB185" s="534"/>
      <c r="AC185" s="534"/>
      <c r="AD185" s="534"/>
      <c r="AE185" s="534"/>
      <c r="AF185" s="534"/>
      <c r="AG185" s="534"/>
      <c r="AH185" s="534"/>
      <c r="AI185" s="534"/>
      <c r="AJ185" s="224"/>
      <c r="AK185" s="210"/>
      <c r="AL185" s="210"/>
    </row>
    <row r="186" spans="1:41" s="197" customFormat="1" ht="15" customHeight="1">
      <c r="A186" s="200"/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199"/>
      <c r="O186" s="199"/>
      <c r="P186" s="200"/>
      <c r="Q186" s="200"/>
      <c r="R186" s="200"/>
      <c r="S186" s="199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24"/>
      <c r="AK186" s="210"/>
      <c r="AL186" s="210"/>
    </row>
    <row r="187" spans="1:41" s="197" customFormat="1">
      <c r="A187" s="535" t="s">
        <v>525</v>
      </c>
      <c r="B187" s="535"/>
      <c r="C187" s="535"/>
      <c r="D187" s="535"/>
      <c r="E187" s="535"/>
      <c r="F187" s="535"/>
      <c r="G187" s="535"/>
      <c r="H187" s="535"/>
      <c r="I187" s="535"/>
      <c r="J187" s="535"/>
      <c r="K187" s="535"/>
      <c r="L187" s="535"/>
      <c r="M187" s="535"/>
      <c r="N187" s="535"/>
      <c r="O187" s="535"/>
      <c r="P187" s="535"/>
      <c r="Q187" s="535"/>
      <c r="R187" s="535"/>
      <c r="S187" s="535"/>
      <c r="T187" s="535"/>
      <c r="U187" s="535"/>
      <c r="V187" s="535"/>
      <c r="W187" s="535"/>
      <c r="X187" s="535"/>
      <c r="Y187" s="535"/>
      <c r="Z187" s="535"/>
      <c r="AA187" s="535"/>
      <c r="AB187" s="535"/>
      <c r="AC187" s="535"/>
      <c r="AD187" s="535"/>
      <c r="AE187" s="535"/>
      <c r="AF187" s="535"/>
      <c r="AG187" s="535"/>
      <c r="AH187" s="535"/>
      <c r="AI187" s="535"/>
      <c r="AJ187" s="224"/>
      <c r="AK187" s="210"/>
      <c r="AL187" s="210"/>
      <c r="AM187" s="227"/>
      <c r="AN187" s="228"/>
      <c r="AO187" s="228"/>
    </row>
    <row r="188" spans="1:41" s="197" customFormat="1">
      <c r="A188" s="200"/>
      <c r="B188" s="200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199"/>
      <c r="O188" s="199"/>
      <c r="P188" s="200"/>
      <c r="Q188" s="200"/>
      <c r="R188" s="200"/>
      <c r="S188" s="199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24"/>
      <c r="AK188" s="210"/>
      <c r="AL188" s="210"/>
    </row>
    <row r="189" spans="1:41" s="197" customFormat="1">
      <c r="A189" s="526" t="s">
        <v>343</v>
      </c>
      <c r="B189" s="526"/>
      <c r="C189" s="526"/>
      <c r="D189" s="526"/>
      <c r="E189" s="526"/>
      <c r="F189" s="526"/>
      <c r="G189" s="536">
        <f>C158</f>
        <v>50.63</v>
      </c>
      <c r="H189" s="537"/>
      <c r="I189" s="200" t="s">
        <v>58</v>
      </c>
      <c r="J189" s="200"/>
      <c r="K189" s="200"/>
      <c r="L189" s="200"/>
      <c r="M189" s="200"/>
      <c r="N189" s="199"/>
      <c r="O189" s="199"/>
      <c r="P189" s="200"/>
      <c r="Q189" s="200"/>
      <c r="R189" s="200"/>
      <c r="S189" s="199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24"/>
      <c r="AK189" s="210"/>
      <c r="AL189" s="210"/>
    </row>
    <row r="190" spans="1:41" s="197" customFormat="1">
      <c r="A190" s="200"/>
      <c r="B190" s="200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199"/>
      <c r="O190" s="199"/>
      <c r="P190" s="200"/>
      <c r="Q190" s="200"/>
      <c r="R190" s="200"/>
      <c r="S190" s="199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24"/>
      <c r="AK190" s="210"/>
      <c r="AL190" s="210"/>
    </row>
    <row r="191" spans="1:41" s="197" customFormat="1">
      <c r="A191" s="200" t="s">
        <v>199</v>
      </c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199"/>
      <c r="O191" s="199"/>
      <c r="P191" s="200"/>
      <c r="Q191" s="200"/>
      <c r="R191" s="200"/>
      <c r="S191" s="199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24"/>
      <c r="AK191" s="210"/>
      <c r="AL191" s="210"/>
    </row>
    <row r="192" spans="1:41" s="197" customFormat="1">
      <c r="A192" s="200"/>
      <c r="B192" s="200"/>
      <c r="C192" s="200"/>
      <c r="D192" s="200"/>
      <c r="E192" s="200"/>
      <c r="F192" s="200"/>
      <c r="G192" s="200"/>
      <c r="H192" s="200"/>
      <c r="I192" s="200"/>
      <c r="J192" s="200"/>
      <c r="K192" s="200"/>
      <c r="L192" s="200"/>
      <c r="M192" s="200"/>
      <c r="N192" s="199"/>
      <c r="O192" s="199"/>
      <c r="P192" s="200"/>
      <c r="Q192" s="200"/>
      <c r="R192" s="200"/>
      <c r="S192" s="199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24"/>
      <c r="AK192" s="210"/>
      <c r="AL192" s="210"/>
    </row>
    <row r="193" spans="1:38" s="197" customFormat="1">
      <c r="A193" s="526" t="s">
        <v>344</v>
      </c>
      <c r="B193" s="526"/>
      <c r="C193" s="526"/>
      <c r="D193" s="526"/>
      <c r="E193" s="526"/>
      <c r="F193" s="526"/>
      <c r="G193" s="531">
        <f>C175</f>
        <v>4.95</v>
      </c>
      <c r="H193" s="533"/>
      <c r="I193" s="200" t="s">
        <v>58</v>
      </c>
      <c r="J193" s="200"/>
      <c r="K193" s="200"/>
      <c r="L193" s="200"/>
      <c r="M193" s="200"/>
      <c r="N193" s="199"/>
      <c r="O193" s="199"/>
      <c r="P193" s="200"/>
      <c r="Q193" s="200"/>
      <c r="R193" s="200"/>
      <c r="S193" s="199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24"/>
      <c r="AK193" s="210"/>
      <c r="AL193" s="210"/>
    </row>
    <row r="194" spans="1:38" s="197" customFormat="1">
      <c r="A194" s="200"/>
      <c r="B194" s="200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199"/>
      <c r="O194" s="199"/>
      <c r="P194" s="200"/>
      <c r="Q194" s="200"/>
      <c r="R194" s="200"/>
      <c r="S194" s="199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24"/>
      <c r="AK194" s="210"/>
      <c r="AL194" s="210"/>
    </row>
    <row r="195" spans="1:38" s="197" customFormat="1">
      <c r="A195" s="526" t="s">
        <v>345</v>
      </c>
      <c r="B195" s="526"/>
      <c r="C195" s="526"/>
      <c r="D195" s="526"/>
      <c r="E195" s="526"/>
      <c r="F195" s="526"/>
      <c r="G195" s="528" t="s">
        <v>81</v>
      </c>
      <c r="H195" s="528"/>
      <c r="I195" s="200"/>
      <c r="J195" s="528" t="s">
        <v>346</v>
      </c>
      <c r="K195" s="528"/>
      <c r="L195" s="200"/>
      <c r="M195" s="200"/>
      <c r="N195" s="199" t="s">
        <v>293</v>
      </c>
      <c r="O195" s="199"/>
      <c r="P195" s="200"/>
      <c r="Q195" s="200"/>
      <c r="R195" s="200"/>
      <c r="S195" s="199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24"/>
      <c r="AK195" s="210"/>
      <c r="AL195" s="210"/>
    </row>
    <row r="196" spans="1:38" s="197" customFormat="1">
      <c r="A196" s="526" t="s">
        <v>350</v>
      </c>
      <c r="B196" s="526"/>
      <c r="C196" s="526"/>
      <c r="D196" s="526"/>
      <c r="E196" s="526"/>
      <c r="F196" s="526"/>
      <c r="G196" s="531">
        <f>G173</f>
        <v>22</v>
      </c>
      <c r="H196" s="531"/>
      <c r="I196" s="200" t="s">
        <v>196</v>
      </c>
      <c r="J196" s="531">
        <v>0.17</v>
      </c>
      <c r="K196" s="531"/>
      <c r="L196" s="526" t="s">
        <v>206</v>
      </c>
      <c r="M196" s="526"/>
      <c r="N196" s="525">
        <f>G196*J196</f>
        <v>3.74</v>
      </c>
      <c r="O196" s="525"/>
      <c r="P196" s="199" t="s">
        <v>58</v>
      </c>
      <c r="Q196" s="200"/>
      <c r="R196" s="200"/>
      <c r="S196" s="199"/>
      <c r="T196" s="200"/>
      <c r="U196" s="200"/>
      <c r="V196" s="200"/>
      <c r="W196" s="200"/>
      <c r="X196" s="200"/>
      <c r="Y196" s="200"/>
      <c r="Z196" s="200"/>
      <c r="AA196" s="528"/>
      <c r="AB196" s="528"/>
      <c r="AC196" s="200"/>
      <c r="AD196" s="200"/>
      <c r="AE196" s="200"/>
      <c r="AF196" s="200"/>
      <c r="AG196" s="200"/>
      <c r="AH196" s="200"/>
      <c r="AI196" s="200"/>
      <c r="AJ196" s="224"/>
      <c r="AK196" s="210"/>
      <c r="AL196" s="210"/>
    </row>
    <row r="197" spans="1:38" s="197" customFormat="1">
      <c r="A197" s="200"/>
      <c r="B197" s="200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199"/>
      <c r="O197" s="199"/>
      <c r="P197" s="200"/>
      <c r="Q197" s="200"/>
      <c r="R197" s="200"/>
      <c r="S197" s="199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200"/>
      <c r="AF197" s="200"/>
      <c r="AG197" s="200"/>
      <c r="AH197" s="200"/>
      <c r="AI197" s="200"/>
      <c r="AJ197" s="224"/>
      <c r="AK197" s="210"/>
      <c r="AL197" s="210"/>
    </row>
    <row r="198" spans="1:38" s="197" customFormat="1">
      <c r="A198" s="526"/>
      <c r="B198" s="526"/>
      <c r="C198" s="526"/>
      <c r="D198" s="526"/>
      <c r="E198" s="526"/>
      <c r="F198" s="526"/>
      <c r="G198" s="528" t="s">
        <v>81</v>
      </c>
      <c r="H198" s="528"/>
      <c r="I198" s="200"/>
      <c r="J198" s="528" t="s">
        <v>338</v>
      </c>
      <c r="K198" s="528"/>
      <c r="L198" s="200"/>
      <c r="N198" s="528" t="s">
        <v>348</v>
      </c>
      <c r="O198" s="528"/>
      <c r="P198" s="199"/>
      <c r="Q198" s="200"/>
      <c r="R198" s="528" t="s">
        <v>340</v>
      </c>
      <c r="S198" s="528"/>
      <c r="T198" s="199"/>
      <c r="U198" s="200"/>
      <c r="V198" s="200" t="s">
        <v>293</v>
      </c>
      <c r="W198" s="200"/>
      <c r="X198" s="200"/>
      <c r="Y198" s="200"/>
      <c r="Z198" s="200"/>
      <c r="AA198" s="200"/>
      <c r="AB198" s="200"/>
      <c r="AC198" s="200"/>
      <c r="AD198" s="200"/>
      <c r="AE198" s="200"/>
      <c r="AF198" s="200"/>
      <c r="AG198" s="200"/>
      <c r="AH198" s="200"/>
      <c r="AI198" s="200"/>
      <c r="AJ198" s="224"/>
      <c r="AK198" s="210"/>
      <c r="AL198" s="210"/>
    </row>
    <row r="199" spans="1:38" s="197" customFormat="1">
      <c r="A199" s="526" t="s">
        <v>341</v>
      </c>
      <c r="B199" s="526"/>
      <c r="C199" s="526"/>
      <c r="D199" s="526"/>
      <c r="E199" s="526"/>
      <c r="F199" s="526"/>
      <c r="G199" s="531">
        <v>1.5</v>
      </c>
      <c r="H199" s="531"/>
      <c r="I199" s="200" t="s">
        <v>196</v>
      </c>
      <c r="J199" s="531">
        <v>1.5</v>
      </c>
      <c r="K199" s="531"/>
      <c r="L199" s="526" t="s">
        <v>196</v>
      </c>
      <c r="M199" s="526"/>
      <c r="N199" s="532">
        <v>1.35</v>
      </c>
      <c r="O199" s="532"/>
      <c r="P199" s="528" t="s">
        <v>196</v>
      </c>
      <c r="Q199" s="528"/>
      <c r="R199" s="531">
        <f>B209</f>
        <v>2</v>
      </c>
      <c r="S199" s="531"/>
      <c r="T199" s="526" t="s">
        <v>197</v>
      </c>
      <c r="U199" s="526"/>
      <c r="V199" s="527">
        <f>G199*J199*N199*R199</f>
        <v>6.08</v>
      </c>
      <c r="W199" s="527"/>
      <c r="X199" s="200" t="s">
        <v>58</v>
      </c>
      <c r="Y199" s="200"/>
      <c r="Z199" s="200"/>
      <c r="AA199" s="200"/>
      <c r="AB199" s="200"/>
      <c r="AC199" s="200"/>
      <c r="AD199" s="200"/>
      <c r="AE199" s="200"/>
      <c r="AF199" s="200"/>
      <c r="AG199" s="200"/>
      <c r="AH199" s="200"/>
      <c r="AI199" s="200"/>
      <c r="AJ199" s="224"/>
      <c r="AK199" s="210"/>
      <c r="AL199" s="210"/>
    </row>
    <row r="200" spans="1:38" s="197" customFormat="1">
      <c r="A200" s="215"/>
      <c r="B200" s="215"/>
      <c r="C200" s="215"/>
      <c r="D200" s="215"/>
      <c r="E200" s="215"/>
      <c r="F200" s="215"/>
      <c r="G200" s="216"/>
      <c r="H200" s="216"/>
      <c r="I200" s="200"/>
      <c r="J200" s="216"/>
      <c r="K200" s="216"/>
      <c r="L200" s="215"/>
      <c r="M200" s="215"/>
      <c r="N200" s="204"/>
      <c r="O200" s="204"/>
      <c r="P200" s="214"/>
      <c r="Q200" s="214"/>
      <c r="R200" s="216"/>
      <c r="S200" s="216"/>
      <c r="T200" s="215"/>
      <c r="U200" s="215"/>
      <c r="V200" s="219"/>
      <c r="W200" s="219"/>
      <c r="X200" s="200"/>
      <c r="Y200" s="200"/>
      <c r="Z200" s="200"/>
      <c r="AA200" s="200"/>
      <c r="AB200" s="200"/>
      <c r="AC200" s="200"/>
      <c r="AD200" s="200"/>
      <c r="AE200" s="200"/>
      <c r="AF200" s="200"/>
      <c r="AG200" s="200"/>
      <c r="AH200" s="200"/>
      <c r="AI200" s="200"/>
      <c r="AJ200" s="224"/>
      <c r="AK200" s="210"/>
      <c r="AL200" s="210"/>
    </row>
    <row r="201" spans="1:38" s="197" customFormat="1">
      <c r="A201" s="215" t="s">
        <v>349</v>
      </c>
      <c r="B201" s="215"/>
      <c r="C201" s="215"/>
      <c r="D201" s="525">
        <f>N196+V199+G193</f>
        <v>14.77</v>
      </c>
      <c r="E201" s="528"/>
      <c r="F201" s="215" t="s">
        <v>58</v>
      </c>
      <c r="G201" s="216"/>
      <c r="H201" s="216"/>
      <c r="I201" s="200"/>
      <c r="J201" s="216"/>
      <c r="K201" s="216"/>
      <c r="L201" s="215"/>
      <c r="M201" s="215"/>
      <c r="N201" s="204"/>
      <c r="O201" s="204"/>
      <c r="P201" s="214"/>
      <c r="Q201" s="214"/>
      <c r="R201" s="216"/>
      <c r="S201" s="216"/>
      <c r="T201" s="215"/>
      <c r="U201" s="215"/>
      <c r="V201" s="219"/>
      <c r="W201" s="219"/>
      <c r="X201" s="200"/>
      <c r="Y201" s="200"/>
      <c r="Z201" s="200"/>
      <c r="AA201" s="200"/>
      <c r="AB201" s="200"/>
      <c r="AC201" s="200"/>
      <c r="AD201" s="200"/>
      <c r="AE201" s="200"/>
      <c r="AF201" s="200"/>
      <c r="AG201" s="200"/>
      <c r="AH201" s="200"/>
      <c r="AI201" s="200"/>
      <c r="AJ201" s="224"/>
      <c r="AK201" s="210"/>
      <c r="AL201" s="210"/>
    </row>
    <row r="202" spans="1:38" s="197" customFormat="1">
      <c r="A202" s="215"/>
      <c r="B202" s="215"/>
      <c r="C202" s="215"/>
      <c r="D202" s="215"/>
      <c r="E202" s="215"/>
      <c r="F202" s="215"/>
      <c r="G202" s="216"/>
      <c r="H202" s="216"/>
      <c r="I202" s="200"/>
      <c r="J202" s="216"/>
      <c r="K202" s="216"/>
      <c r="L202" s="215"/>
      <c r="M202" s="215"/>
      <c r="N202" s="204"/>
      <c r="O202" s="204"/>
      <c r="P202" s="214"/>
      <c r="Q202" s="214"/>
      <c r="R202" s="216"/>
      <c r="S202" s="216"/>
      <c r="T202" s="215"/>
      <c r="U202" s="215"/>
      <c r="V202" s="219"/>
      <c r="W202" s="219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24"/>
      <c r="AK202" s="210"/>
      <c r="AL202" s="210"/>
    </row>
    <row r="203" spans="1:38" s="197" customFormat="1" ht="16.5">
      <c r="A203" s="200" t="s">
        <v>179</v>
      </c>
      <c r="B203" s="527">
        <f>G189-D201</f>
        <v>35.86</v>
      </c>
      <c r="C203" s="527"/>
      <c r="D203" s="527"/>
      <c r="E203" s="200" t="s">
        <v>359</v>
      </c>
      <c r="F203" s="200"/>
      <c r="G203" s="200"/>
      <c r="H203" s="528"/>
      <c r="I203" s="528"/>
      <c r="J203" s="200"/>
      <c r="K203" s="200"/>
      <c r="L203" s="527"/>
      <c r="M203" s="528"/>
      <c r="N203" s="199"/>
      <c r="O203" s="199"/>
      <c r="P203" s="200"/>
      <c r="Q203" s="200"/>
      <c r="R203" s="200"/>
      <c r="S203" s="199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24"/>
      <c r="AK203" s="210"/>
      <c r="AL203" s="210"/>
    </row>
    <row r="204" spans="1:38" s="197" customFormat="1">
      <c r="A204" s="200"/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199"/>
      <c r="O204" s="199"/>
      <c r="P204" s="200"/>
      <c r="Q204" s="200"/>
      <c r="R204" s="200"/>
      <c r="S204" s="199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24"/>
      <c r="AK204" s="210"/>
      <c r="AL204" s="210"/>
    </row>
    <row r="205" spans="1:38" s="197" customFormat="1" ht="15" customHeight="1">
      <c r="A205" s="529" t="s">
        <v>416</v>
      </c>
      <c r="B205" s="529"/>
      <c r="C205" s="529"/>
      <c r="D205" s="529"/>
      <c r="E205" s="529"/>
      <c r="F205" s="529"/>
      <c r="G205" s="529"/>
      <c r="H205" s="529"/>
      <c r="I205" s="529"/>
      <c r="J205" s="529"/>
      <c r="K205" s="529"/>
      <c r="L205" s="529"/>
      <c r="M205" s="529"/>
      <c r="N205" s="529"/>
      <c r="O205" s="529"/>
      <c r="P205" s="529"/>
      <c r="Q205" s="529"/>
      <c r="R205" s="529"/>
      <c r="S205" s="529"/>
      <c r="T205" s="529"/>
      <c r="U205" s="529"/>
      <c r="V205" s="529"/>
      <c r="W205" s="529"/>
      <c r="X205" s="529"/>
      <c r="Y205" s="529"/>
      <c r="Z205" s="529"/>
      <c r="AA205" s="529"/>
      <c r="AB205" s="529"/>
      <c r="AC205" s="529"/>
      <c r="AD205" s="529"/>
      <c r="AE205" s="529"/>
      <c r="AF205" s="529"/>
      <c r="AG205" s="529"/>
      <c r="AH205" s="529"/>
      <c r="AI205" s="529"/>
      <c r="AJ205" s="224"/>
      <c r="AK205" s="210"/>
      <c r="AL205" s="210"/>
    </row>
    <row r="206" spans="1:38" s="197" customFormat="1">
      <c r="A206" s="200"/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199"/>
      <c r="O206" s="199"/>
      <c r="P206" s="200"/>
      <c r="Q206" s="200"/>
      <c r="R206" s="200"/>
      <c r="S206" s="199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24"/>
      <c r="AK206" s="210"/>
      <c r="AL206" s="210"/>
    </row>
    <row r="207" spans="1:38" s="197" customFormat="1">
      <c r="A207" s="530" t="s">
        <v>333</v>
      </c>
      <c r="B207" s="530"/>
      <c r="C207" s="530"/>
      <c r="D207" s="530"/>
      <c r="E207" s="530"/>
      <c r="F207" s="530"/>
      <c r="G207" s="530"/>
      <c r="H207" s="530"/>
      <c r="I207" s="530"/>
      <c r="J207" s="530"/>
      <c r="K207" s="530"/>
      <c r="L207" s="530"/>
      <c r="M207" s="530"/>
      <c r="N207" s="530"/>
      <c r="O207" s="530"/>
      <c r="P207" s="530"/>
      <c r="Q207" s="530"/>
      <c r="R207" s="530"/>
      <c r="S207" s="530"/>
      <c r="T207" s="530"/>
      <c r="U207" s="530"/>
      <c r="V207" s="530"/>
      <c r="W207" s="530"/>
      <c r="X207" s="530"/>
      <c r="Y207" s="530"/>
      <c r="Z207" s="530"/>
      <c r="AA207" s="530"/>
      <c r="AB207" s="530"/>
      <c r="AC207" s="530"/>
      <c r="AD207" s="530"/>
      <c r="AE207" s="530"/>
      <c r="AF207" s="530"/>
      <c r="AG207" s="530"/>
      <c r="AH207" s="530"/>
      <c r="AI207" s="530"/>
      <c r="AJ207" s="224"/>
      <c r="AK207" s="210"/>
      <c r="AL207" s="210"/>
    </row>
    <row r="208" spans="1:38" s="197" customFormat="1">
      <c r="A208" s="200"/>
      <c r="B208" s="200"/>
      <c r="C208" s="200"/>
      <c r="D208" s="200"/>
      <c r="E208" s="200"/>
      <c r="F208" s="200"/>
      <c r="G208" s="200"/>
      <c r="H208" s="200"/>
      <c r="I208" s="200"/>
      <c r="J208" s="200"/>
      <c r="K208" s="200"/>
      <c r="L208" s="200"/>
      <c r="M208" s="200"/>
      <c r="N208" s="199"/>
      <c r="O208" s="199"/>
      <c r="P208" s="200"/>
      <c r="Q208" s="200"/>
      <c r="R208" s="200"/>
      <c r="S208" s="199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/>
      <c r="AF208" s="200"/>
      <c r="AG208" s="200"/>
      <c r="AH208" s="200"/>
      <c r="AI208" s="200"/>
      <c r="AJ208" s="226"/>
      <c r="AK208" s="210"/>
      <c r="AL208" s="210"/>
    </row>
    <row r="209" spans="1:73" s="197" customFormat="1">
      <c r="A209" s="200" t="s">
        <v>179</v>
      </c>
      <c r="B209" s="525">
        <v>2</v>
      </c>
      <c r="C209" s="525"/>
      <c r="D209" s="200" t="s">
        <v>332</v>
      </c>
      <c r="E209" s="200"/>
      <c r="F209" s="200"/>
      <c r="G209" s="200"/>
      <c r="H209" s="200"/>
      <c r="I209" s="200"/>
      <c r="J209" s="200"/>
      <c r="K209" s="200"/>
      <c r="L209" s="200"/>
      <c r="M209" s="200"/>
      <c r="N209" s="199"/>
      <c r="O209" s="199"/>
      <c r="P209" s="200"/>
      <c r="Q209" s="200"/>
      <c r="R209" s="200"/>
      <c r="S209" s="199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24"/>
      <c r="AK209" s="210"/>
      <c r="AL209" s="210"/>
    </row>
    <row r="210" spans="1:73" s="197" customFormat="1">
      <c r="A210" s="200"/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199"/>
      <c r="O210" s="199"/>
      <c r="P210" s="200"/>
      <c r="Q210" s="200"/>
      <c r="R210" s="200"/>
      <c r="S210" s="199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24"/>
      <c r="AK210" s="210"/>
      <c r="AL210" s="210"/>
    </row>
    <row r="211" spans="1:73" s="197" customFormat="1" ht="15" customHeight="1">
      <c r="A211" s="529" t="s">
        <v>418</v>
      </c>
      <c r="B211" s="529"/>
      <c r="C211" s="529"/>
      <c r="D211" s="529"/>
      <c r="E211" s="529"/>
      <c r="F211" s="529"/>
      <c r="G211" s="529"/>
      <c r="H211" s="529"/>
      <c r="I211" s="529"/>
      <c r="J211" s="529"/>
      <c r="K211" s="529"/>
      <c r="L211" s="529"/>
      <c r="M211" s="529"/>
      <c r="N211" s="529"/>
      <c r="O211" s="529"/>
      <c r="P211" s="529"/>
      <c r="Q211" s="529"/>
      <c r="R211" s="529"/>
      <c r="S211" s="529"/>
      <c r="T211" s="529"/>
      <c r="U211" s="529"/>
      <c r="V211" s="529"/>
      <c r="W211" s="529"/>
      <c r="X211" s="529"/>
      <c r="Y211" s="529"/>
      <c r="Z211" s="529"/>
      <c r="AA211" s="529"/>
      <c r="AB211" s="529"/>
      <c r="AC211" s="529"/>
      <c r="AD211" s="529"/>
      <c r="AE211" s="529"/>
      <c r="AF211" s="529"/>
      <c r="AG211" s="529"/>
      <c r="AH211" s="529"/>
      <c r="AI211" s="529"/>
      <c r="AJ211" s="224"/>
      <c r="AK211" s="210"/>
      <c r="AL211" s="210"/>
    </row>
    <row r="212" spans="1:73" s="197" customFormat="1">
      <c r="A212" s="200"/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199"/>
      <c r="O212" s="199"/>
      <c r="P212" s="200"/>
      <c r="Q212" s="200"/>
      <c r="R212" s="200"/>
      <c r="S212" s="199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24"/>
      <c r="AK212" s="210"/>
      <c r="AL212" s="210"/>
    </row>
    <row r="213" spans="1:73" s="197" customFormat="1">
      <c r="A213" s="530" t="s">
        <v>334</v>
      </c>
      <c r="B213" s="530"/>
      <c r="C213" s="530"/>
      <c r="D213" s="530"/>
      <c r="E213" s="530"/>
      <c r="F213" s="530"/>
      <c r="G213" s="530"/>
      <c r="H213" s="530"/>
      <c r="I213" s="530"/>
      <c r="J213" s="530"/>
      <c r="K213" s="530"/>
      <c r="L213" s="530"/>
      <c r="M213" s="530"/>
      <c r="N213" s="530"/>
      <c r="O213" s="530"/>
      <c r="P213" s="530"/>
      <c r="Q213" s="530"/>
      <c r="R213" s="530"/>
      <c r="S213" s="530"/>
      <c r="T213" s="530"/>
      <c r="U213" s="530"/>
      <c r="V213" s="530"/>
      <c r="W213" s="530"/>
      <c r="X213" s="530"/>
      <c r="Y213" s="530"/>
      <c r="Z213" s="530"/>
      <c r="AA213" s="530"/>
      <c r="AB213" s="530"/>
      <c r="AC213" s="530"/>
      <c r="AD213" s="530"/>
      <c r="AE213" s="530"/>
      <c r="AF213" s="530"/>
      <c r="AG213" s="530"/>
      <c r="AH213" s="530"/>
      <c r="AI213" s="530"/>
      <c r="AJ213" s="224"/>
      <c r="AK213" s="210"/>
      <c r="AL213" s="210"/>
    </row>
    <row r="214" spans="1:73" s="197" customFormat="1">
      <c r="A214" s="200"/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199"/>
      <c r="O214" s="199"/>
      <c r="P214" s="200"/>
      <c r="Q214" s="200"/>
      <c r="R214" s="200"/>
      <c r="S214" s="199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26"/>
      <c r="AK214" s="210"/>
      <c r="AL214" s="210"/>
    </row>
    <row r="215" spans="1:73" s="197" customFormat="1">
      <c r="A215" s="200" t="s">
        <v>179</v>
      </c>
      <c r="B215" s="525">
        <f>B209</f>
        <v>2</v>
      </c>
      <c r="C215" s="525"/>
      <c r="D215" s="200" t="s">
        <v>332</v>
      </c>
      <c r="E215" s="200"/>
      <c r="F215" s="200"/>
      <c r="G215" s="200"/>
      <c r="H215" s="200"/>
      <c r="I215" s="200"/>
      <c r="J215" s="200"/>
      <c r="K215" s="200"/>
      <c r="L215" s="200"/>
      <c r="M215" s="200"/>
      <c r="N215" s="199"/>
      <c r="O215" s="199"/>
      <c r="P215" s="200"/>
      <c r="Q215" s="200"/>
      <c r="R215" s="200"/>
      <c r="S215" s="199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00"/>
      <c r="AF215" s="200"/>
      <c r="AG215" s="200"/>
      <c r="AH215" s="200"/>
      <c r="AI215" s="200"/>
      <c r="AJ215" s="224"/>
      <c r="AK215" s="210"/>
      <c r="AL215" s="210"/>
    </row>
    <row r="216" spans="1:73" s="197" customFormat="1">
      <c r="A216" s="200"/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199"/>
      <c r="O216" s="199"/>
      <c r="P216" s="200"/>
      <c r="Q216" s="200"/>
      <c r="R216" s="200"/>
      <c r="S216" s="199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24"/>
      <c r="AK216" s="210"/>
      <c r="AL216" s="210"/>
    </row>
    <row r="217" spans="1:73" s="197" customFormat="1" ht="30" customHeight="1">
      <c r="A217" s="529" t="s">
        <v>419</v>
      </c>
      <c r="B217" s="529"/>
      <c r="C217" s="529"/>
      <c r="D217" s="529"/>
      <c r="E217" s="529"/>
      <c r="F217" s="529"/>
      <c r="G217" s="529"/>
      <c r="H217" s="529"/>
      <c r="I217" s="529"/>
      <c r="J217" s="529"/>
      <c r="K217" s="529"/>
      <c r="L217" s="529"/>
      <c r="M217" s="529"/>
      <c r="N217" s="529"/>
      <c r="O217" s="529"/>
      <c r="P217" s="529"/>
      <c r="Q217" s="529"/>
      <c r="R217" s="529"/>
      <c r="S217" s="529"/>
      <c r="T217" s="529"/>
      <c r="U217" s="529"/>
      <c r="V217" s="529"/>
      <c r="W217" s="529"/>
      <c r="X217" s="529"/>
      <c r="Y217" s="529"/>
      <c r="Z217" s="529"/>
      <c r="AA217" s="529"/>
      <c r="AB217" s="529"/>
      <c r="AC217" s="529"/>
      <c r="AD217" s="529"/>
      <c r="AE217" s="529"/>
      <c r="AF217" s="529"/>
      <c r="AG217" s="529"/>
      <c r="AH217" s="529"/>
      <c r="AI217" s="529"/>
      <c r="AJ217" s="224"/>
      <c r="AK217" s="210"/>
      <c r="AL217" s="210"/>
    </row>
    <row r="218" spans="1:73" s="197" customFormat="1">
      <c r="A218" s="200"/>
      <c r="B218" s="200"/>
      <c r="C218" s="200"/>
      <c r="D218" s="200"/>
      <c r="E218" s="200"/>
      <c r="F218" s="200"/>
      <c r="G218" s="200"/>
      <c r="H218" s="200"/>
      <c r="I218" s="200"/>
      <c r="J218" s="200"/>
      <c r="K218" s="200"/>
      <c r="L218" s="200"/>
      <c r="M218" s="200"/>
      <c r="N218" s="199"/>
      <c r="O218" s="199"/>
      <c r="P218" s="200"/>
      <c r="Q218" s="200"/>
      <c r="R218" s="200"/>
      <c r="S218" s="199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24"/>
      <c r="AK218" s="210"/>
      <c r="AL218" s="210"/>
    </row>
    <row r="219" spans="1:73" s="197" customFormat="1">
      <c r="A219" s="530" t="s">
        <v>331</v>
      </c>
      <c r="B219" s="530"/>
      <c r="C219" s="530"/>
      <c r="D219" s="530"/>
      <c r="E219" s="530"/>
      <c r="F219" s="530"/>
      <c r="G219" s="530"/>
      <c r="H219" s="530"/>
      <c r="I219" s="530"/>
      <c r="J219" s="530"/>
      <c r="K219" s="530"/>
      <c r="L219" s="530"/>
      <c r="M219" s="530"/>
      <c r="N219" s="530"/>
      <c r="O219" s="530"/>
      <c r="P219" s="530"/>
      <c r="Q219" s="530"/>
      <c r="R219" s="530"/>
      <c r="S219" s="530"/>
      <c r="T219" s="530"/>
      <c r="U219" s="530"/>
      <c r="V219" s="530"/>
      <c r="W219" s="530"/>
      <c r="X219" s="530"/>
      <c r="Y219" s="530"/>
      <c r="Z219" s="530"/>
      <c r="AA219" s="530"/>
      <c r="AB219" s="530"/>
      <c r="AC219" s="530"/>
      <c r="AD219" s="530"/>
      <c r="AE219" s="530"/>
      <c r="AF219" s="530"/>
      <c r="AG219" s="530"/>
      <c r="AH219" s="530"/>
      <c r="AI219" s="530"/>
      <c r="AJ219" s="224"/>
      <c r="AK219" s="210"/>
      <c r="AL219" s="210"/>
    </row>
    <row r="220" spans="1:73" s="197" customFormat="1">
      <c r="A220" s="200"/>
      <c r="B220" s="200"/>
      <c r="C220" s="200"/>
      <c r="D220" s="200"/>
      <c r="E220" s="200"/>
      <c r="F220" s="200"/>
      <c r="G220" s="200"/>
      <c r="H220" s="200"/>
      <c r="I220" s="200"/>
      <c r="J220" s="200"/>
      <c r="K220" s="200"/>
      <c r="L220" s="200"/>
      <c r="M220" s="200"/>
      <c r="N220" s="199"/>
      <c r="O220" s="199"/>
      <c r="P220" s="200"/>
      <c r="Q220" s="200"/>
      <c r="R220" s="200"/>
      <c r="S220" s="199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24"/>
      <c r="AK220" s="210"/>
      <c r="AL220" s="210"/>
    </row>
    <row r="221" spans="1:73" s="197" customFormat="1">
      <c r="A221" s="200" t="s">
        <v>179</v>
      </c>
      <c r="B221" s="525">
        <f>1</f>
        <v>1</v>
      </c>
      <c r="C221" s="525"/>
      <c r="D221" s="200" t="s">
        <v>332</v>
      </c>
      <c r="E221" s="200"/>
      <c r="F221" s="200"/>
      <c r="G221" s="200"/>
      <c r="H221" s="200"/>
      <c r="I221" s="200"/>
      <c r="J221" s="200"/>
      <c r="K221" s="200"/>
      <c r="L221" s="200"/>
      <c r="M221" s="200"/>
      <c r="N221" s="199"/>
      <c r="O221" s="199"/>
      <c r="P221" s="200"/>
      <c r="Q221" s="200"/>
      <c r="R221" s="200"/>
      <c r="S221" s="199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00"/>
      <c r="AF221" s="200"/>
      <c r="AG221" s="200"/>
      <c r="AH221" s="200"/>
      <c r="AI221" s="200"/>
      <c r="AJ221" s="224"/>
      <c r="AK221" s="210"/>
      <c r="AL221" s="210"/>
    </row>
    <row r="222" spans="1:73" s="197" customFormat="1">
      <c r="A222" s="200"/>
      <c r="B222" s="200"/>
      <c r="C222" s="200"/>
      <c r="D222" s="200"/>
      <c r="E222" s="200"/>
      <c r="F222" s="200"/>
      <c r="G222" s="200"/>
      <c r="H222" s="200"/>
      <c r="I222" s="200"/>
      <c r="J222" s="200"/>
      <c r="K222" s="200"/>
      <c r="L222" s="200"/>
      <c r="M222" s="200"/>
      <c r="N222" s="199"/>
      <c r="O222" s="199"/>
      <c r="P222" s="200"/>
      <c r="Q222" s="200"/>
      <c r="R222" s="200"/>
      <c r="S222" s="199"/>
      <c r="T222" s="200"/>
      <c r="U222" s="200"/>
      <c r="V222" s="200"/>
      <c r="W222" s="200"/>
      <c r="X222" s="200"/>
      <c r="Y222" s="200"/>
      <c r="Z222" s="200"/>
      <c r="AA222" s="200"/>
      <c r="AB222" s="200"/>
      <c r="AC222" s="200"/>
      <c r="AD222" s="200"/>
      <c r="AE222" s="200"/>
      <c r="AF222" s="200"/>
      <c r="AG222" s="200"/>
      <c r="AH222" s="200"/>
      <c r="AI222" s="200"/>
      <c r="AJ222" s="224"/>
      <c r="AK222" s="210"/>
      <c r="AL222" s="210"/>
    </row>
    <row r="223" spans="1:73" ht="15">
      <c r="A223" s="539" t="s">
        <v>367</v>
      </c>
      <c r="B223" s="540"/>
      <c r="C223" s="540"/>
      <c r="D223" s="540"/>
      <c r="E223" s="540"/>
      <c r="F223" s="540"/>
      <c r="G223" s="540"/>
      <c r="H223" s="540"/>
      <c r="I223" s="540"/>
      <c r="J223" s="540"/>
      <c r="K223" s="540"/>
      <c r="L223" s="540"/>
      <c r="M223" s="540"/>
      <c r="N223" s="540"/>
      <c r="O223" s="540"/>
      <c r="P223" s="540"/>
      <c r="Q223" s="540"/>
      <c r="R223" s="540"/>
      <c r="S223" s="540"/>
      <c r="T223" s="540"/>
      <c r="U223" s="540"/>
      <c r="V223" s="540"/>
      <c r="W223" s="540"/>
      <c r="X223" s="540"/>
      <c r="Y223" s="540"/>
      <c r="Z223" s="540"/>
      <c r="AA223" s="540"/>
      <c r="AB223" s="540"/>
      <c r="AC223" s="540"/>
      <c r="AD223" s="540"/>
      <c r="AE223" s="540"/>
      <c r="AF223" s="540"/>
      <c r="AG223" s="540"/>
      <c r="AH223" s="540"/>
      <c r="AI223" s="541"/>
      <c r="AJ223" s="200"/>
      <c r="AK223" s="200"/>
      <c r="AL223" s="200"/>
      <c r="AW223" s="199"/>
      <c r="AX223" s="199"/>
      <c r="BB223" s="199"/>
      <c r="BS223" s="198"/>
      <c r="BT223" s="199"/>
      <c r="BU223" s="199"/>
    </row>
    <row r="224" spans="1:73" s="197" customFormat="1"/>
    <row r="225" spans="1:35" ht="15">
      <c r="A225" s="542" t="s">
        <v>368</v>
      </c>
      <c r="B225" s="542"/>
      <c r="C225" s="542"/>
      <c r="D225" s="542"/>
      <c r="E225" s="542"/>
      <c r="F225" s="542"/>
      <c r="G225" s="542"/>
      <c r="H225" s="542"/>
      <c r="I225" s="542"/>
      <c r="J225" s="542"/>
      <c r="K225" s="542"/>
      <c r="L225" s="542"/>
      <c r="M225" s="542"/>
      <c r="N225" s="542"/>
      <c r="O225" s="542"/>
      <c r="P225" s="542"/>
      <c r="Q225" s="542"/>
      <c r="R225" s="542"/>
      <c r="S225" s="542"/>
      <c r="T225" s="542"/>
      <c r="U225" s="542"/>
      <c r="V225" s="542"/>
      <c r="W225" s="542"/>
      <c r="X225" s="542"/>
      <c r="Y225" s="542"/>
      <c r="Z225" s="542"/>
      <c r="AA225" s="542"/>
      <c r="AB225" s="542"/>
      <c r="AC225" s="542"/>
      <c r="AD225" s="542"/>
      <c r="AE225" s="542"/>
      <c r="AF225" s="542"/>
      <c r="AG225" s="542"/>
      <c r="AH225" s="542"/>
      <c r="AI225" s="542"/>
    </row>
    <row r="227" spans="1:35">
      <c r="A227" s="530" t="s">
        <v>229</v>
      </c>
      <c r="B227" s="530"/>
      <c r="C227" s="530"/>
      <c r="D227" s="530"/>
      <c r="E227" s="530"/>
      <c r="F227" s="530"/>
      <c r="G227" s="530"/>
      <c r="H227" s="530"/>
      <c r="I227" s="530"/>
      <c r="J227" s="530"/>
      <c r="K227" s="530"/>
      <c r="L227" s="530"/>
      <c r="M227" s="530"/>
      <c r="N227" s="530"/>
      <c r="O227" s="530"/>
      <c r="P227" s="530"/>
      <c r="Q227" s="530"/>
      <c r="R227" s="530"/>
      <c r="S227" s="530"/>
      <c r="T227" s="530"/>
      <c r="U227" s="530"/>
      <c r="V227" s="530"/>
      <c r="W227" s="530"/>
      <c r="X227" s="530"/>
      <c r="Y227" s="530"/>
      <c r="Z227" s="530"/>
      <c r="AA227" s="530"/>
      <c r="AB227" s="530"/>
      <c r="AC227" s="530"/>
      <c r="AD227" s="530"/>
      <c r="AE227" s="530"/>
      <c r="AF227" s="530"/>
      <c r="AG227" s="530"/>
      <c r="AH227" s="530"/>
      <c r="AI227" s="530"/>
    </row>
    <row r="229" spans="1:35">
      <c r="A229" s="200" t="s">
        <v>230</v>
      </c>
      <c r="B229" s="543">
        <f>C57</f>
        <v>625.79</v>
      </c>
      <c r="C229" s="530"/>
      <c r="D229" s="530"/>
      <c r="E229" s="200" t="s">
        <v>85</v>
      </c>
    </row>
  </sheetData>
  <mergeCells count="304">
    <mergeCell ref="F21:G21"/>
    <mergeCell ref="C23:D23"/>
    <mergeCell ref="E17:F17"/>
    <mergeCell ref="E39:F39"/>
    <mergeCell ref="E52:F52"/>
    <mergeCell ref="A12:AI12"/>
    <mergeCell ref="A14:AI14"/>
    <mergeCell ref="A15:AI15"/>
    <mergeCell ref="B16:C16"/>
    <mergeCell ref="G16:H16"/>
    <mergeCell ref="C19:D19"/>
    <mergeCell ref="A65:D65"/>
    <mergeCell ref="F65:G65"/>
    <mergeCell ref="A66:D66"/>
    <mergeCell ref="F66:G66"/>
    <mergeCell ref="G51:H51"/>
    <mergeCell ref="F55:G55"/>
    <mergeCell ref="A34:AI34"/>
    <mergeCell ref="A36:AI36"/>
    <mergeCell ref="A37:AI37"/>
    <mergeCell ref="B38:C38"/>
    <mergeCell ref="G38:H38"/>
    <mergeCell ref="B41:D41"/>
    <mergeCell ref="F43:G43"/>
    <mergeCell ref="C45:D45"/>
    <mergeCell ref="F64:G64"/>
    <mergeCell ref="A63:D63"/>
    <mergeCell ref="A64:D64"/>
    <mergeCell ref="F63:G63"/>
    <mergeCell ref="B51:C51"/>
    <mergeCell ref="Q38:R38"/>
    <mergeCell ref="L82:M82"/>
    <mergeCell ref="H81:I81"/>
    <mergeCell ref="A81:D81"/>
    <mergeCell ref="F82:G82"/>
    <mergeCell ref="N83:O83"/>
    <mergeCell ref="A84:D84"/>
    <mergeCell ref="F84:G84"/>
    <mergeCell ref="H84:I84"/>
    <mergeCell ref="J84:K84"/>
    <mergeCell ref="L84:M84"/>
    <mergeCell ref="N84:O84"/>
    <mergeCell ref="B229:D229"/>
    <mergeCell ref="B136:C136"/>
    <mergeCell ref="D136:E136"/>
    <mergeCell ref="C138:D138"/>
    <mergeCell ref="B132:C132"/>
    <mergeCell ref="D132:E132"/>
    <mergeCell ref="A223:AI223"/>
    <mergeCell ref="A109:D109"/>
    <mergeCell ref="H103:I103"/>
    <mergeCell ref="A225:AI225"/>
    <mergeCell ref="A227:AI227"/>
    <mergeCell ref="N109:O109"/>
    <mergeCell ref="F110:G110"/>
    <mergeCell ref="I110:J110"/>
    <mergeCell ref="L110:M110"/>
    <mergeCell ref="L109:M109"/>
    <mergeCell ref="J114:K114"/>
    <mergeCell ref="L114:M114"/>
    <mergeCell ref="H113:I113"/>
    <mergeCell ref="H109:I109"/>
    <mergeCell ref="N103:O103"/>
    <mergeCell ref="H108:I108"/>
    <mergeCell ref="A108:D108"/>
    <mergeCell ref="A114:D114"/>
    <mergeCell ref="AJ135:AK135"/>
    <mergeCell ref="J81:K81"/>
    <mergeCell ref="J82:K82"/>
    <mergeCell ref="L81:M81"/>
    <mergeCell ref="B135:C135"/>
    <mergeCell ref="G135:H135"/>
    <mergeCell ref="F109:G109"/>
    <mergeCell ref="A120:AI120"/>
    <mergeCell ref="C122:D122"/>
    <mergeCell ref="A127:AI128"/>
    <mergeCell ref="A118:AI118"/>
    <mergeCell ref="A125:AI125"/>
    <mergeCell ref="C116:D116"/>
    <mergeCell ref="Q89:R89"/>
    <mergeCell ref="J88:K88"/>
    <mergeCell ref="L88:M88"/>
    <mergeCell ref="N88:O88"/>
    <mergeCell ref="A88:D88"/>
    <mergeCell ref="D96:E96"/>
    <mergeCell ref="H82:I82"/>
    <mergeCell ref="L108:M108"/>
    <mergeCell ref="F89:G89"/>
    <mergeCell ref="H89:I89"/>
    <mergeCell ref="N105:O105"/>
    <mergeCell ref="N102:O102"/>
    <mergeCell ref="B96:C96"/>
    <mergeCell ref="AJ129:AK129"/>
    <mergeCell ref="B131:C131"/>
    <mergeCell ref="G131:H131"/>
    <mergeCell ref="A2:AI2"/>
    <mergeCell ref="A4:AI4"/>
    <mergeCell ref="A6:AI6"/>
    <mergeCell ref="A8:AI8"/>
    <mergeCell ref="B10:C10"/>
    <mergeCell ref="F10:G10"/>
    <mergeCell ref="J10:K10"/>
    <mergeCell ref="A32:AI32"/>
    <mergeCell ref="A26:AI26"/>
    <mergeCell ref="A28:AI28"/>
    <mergeCell ref="B30:C30"/>
    <mergeCell ref="B123:D123"/>
    <mergeCell ref="A47:AI47"/>
    <mergeCell ref="A49:AI49"/>
    <mergeCell ref="A50:AI50"/>
    <mergeCell ref="J103:K103"/>
    <mergeCell ref="L103:M103"/>
    <mergeCell ref="AJ72:AK72"/>
    <mergeCell ref="J113:K113"/>
    <mergeCell ref="L113:M113"/>
    <mergeCell ref="J109:K109"/>
    <mergeCell ref="J108:K108"/>
    <mergeCell ref="H90:I90"/>
    <mergeCell ref="J90:K90"/>
    <mergeCell ref="J102:K102"/>
    <mergeCell ref="L102:M102"/>
    <mergeCell ref="A104:D104"/>
    <mergeCell ref="F104:G104"/>
    <mergeCell ref="H104:I104"/>
    <mergeCell ref="J104:K104"/>
    <mergeCell ref="L104:M104"/>
    <mergeCell ref="A102:D102"/>
    <mergeCell ref="F102:G102"/>
    <mergeCell ref="H102:I102"/>
    <mergeCell ref="A92:AI92"/>
    <mergeCell ref="A94:AI94"/>
    <mergeCell ref="N104:O104"/>
    <mergeCell ref="A105:D105"/>
    <mergeCell ref="F105:G105"/>
    <mergeCell ref="H105:I105"/>
    <mergeCell ref="J105:K105"/>
    <mergeCell ref="L105:M105"/>
    <mergeCell ref="N90:O90"/>
    <mergeCell ref="Q122:R122"/>
    <mergeCell ref="A72:AI72"/>
    <mergeCell ref="F81:G81"/>
    <mergeCell ref="A82:D82"/>
    <mergeCell ref="B53:D53"/>
    <mergeCell ref="C57:D57"/>
    <mergeCell ref="A79:AI79"/>
    <mergeCell ref="A59:AI59"/>
    <mergeCell ref="A61:AI61"/>
    <mergeCell ref="F108:G108"/>
    <mergeCell ref="F88:G88"/>
    <mergeCell ref="H88:I88"/>
    <mergeCell ref="N108:O108"/>
    <mergeCell ref="F114:G114"/>
    <mergeCell ref="H114:I114"/>
    <mergeCell ref="F68:G68"/>
    <mergeCell ref="A103:D103"/>
    <mergeCell ref="A77:AI77"/>
    <mergeCell ref="G122:H122"/>
    <mergeCell ref="J122:K122"/>
    <mergeCell ref="A98:AI98"/>
    <mergeCell ref="N114:O114"/>
    <mergeCell ref="E113:F113"/>
    <mergeCell ref="F103:G103"/>
    <mergeCell ref="J89:K89"/>
    <mergeCell ref="L89:M89"/>
    <mergeCell ref="C85:D85"/>
    <mergeCell ref="E85:F85"/>
    <mergeCell ref="A70:AI70"/>
    <mergeCell ref="N89:O89"/>
    <mergeCell ref="F90:G90"/>
    <mergeCell ref="L90:M90"/>
    <mergeCell ref="A83:D83"/>
    <mergeCell ref="F83:G83"/>
    <mergeCell ref="H83:I83"/>
    <mergeCell ref="J83:K83"/>
    <mergeCell ref="L83:M83"/>
    <mergeCell ref="B74:D74"/>
    <mergeCell ref="G74:H74"/>
    <mergeCell ref="L74:M74"/>
    <mergeCell ref="P74:Q74"/>
    <mergeCell ref="S74:T74"/>
    <mergeCell ref="G85:H85"/>
    <mergeCell ref="I85:J85"/>
    <mergeCell ref="K85:L85"/>
    <mergeCell ref="B75:D75"/>
    <mergeCell ref="N81:O81"/>
    <mergeCell ref="N82:O82"/>
    <mergeCell ref="A140:AI140"/>
    <mergeCell ref="A142:AI142"/>
    <mergeCell ref="A144:AI144"/>
    <mergeCell ref="A146:F146"/>
    <mergeCell ref="G146:H146"/>
    <mergeCell ref="J146:K146"/>
    <mergeCell ref="L146:M146"/>
    <mergeCell ref="N146:O146"/>
    <mergeCell ref="C148:D148"/>
    <mergeCell ref="A150:AI150"/>
    <mergeCell ref="A152:AI152"/>
    <mergeCell ref="G154:H154"/>
    <mergeCell ref="J154:K154"/>
    <mergeCell ref="N154:O154"/>
    <mergeCell ref="R154:S154"/>
    <mergeCell ref="V154:W154"/>
    <mergeCell ref="A155:F155"/>
    <mergeCell ref="G155:H155"/>
    <mergeCell ref="J155:K155"/>
    <mergeCell ref="L155:M155"/>
    <mergeCell ref="N155:O155"/>
    <mergeCell ref="P155:Q155"/>
    <mergeCell ref="R155:S155"/>
    <mergeCell ref="T155:U155"/>
    <mergeCell ref="V155:W155"/>
    <mergeCell ref="G156:H156"/>
    <mergeCell ref="J156:K156"/>
    <mergeCell ref="L156:M156"/>
    <mergeCell ref="N156:O156"/>
    <mergeCell ref="P156:Q156"/>
    <mergeCell ref="R156:S156"/>
    <mergeCell ref="T156:U156"/>
    <mergeCell ref="V156:W156"/>
    <mergeCell ref="C158:D158"/>
    <mergeCell ref="A160:AI160"/>
    <mergeCell ref="G162:H162"/>
    <mergeCell ref="J162:K162"/>
    <mergeCell ref="N162:O162"/>
    <mergeCell ref="R162:S162"/>
    <mergeCell ref="A163:F163"/>
    <mergeCell ref="G163:H163"/>
    <mergeCell ref="J163:K163"/>
    <mergeCell ref="L163:M163"/>
    <mergeCell ref="N163:O163"/>
    <mergeCell ref="P163:Q163"/>
    <mergeCell ref="R163:S163"/>
    <mergeCell ref="G164:H164"/>
    <mergeCell ref="J164:K164"/>
    <mergeCell ref="L164:M164"/>
    <mergeCell ref="N164:O164"/>
    <mergeCell ref="P164:Q164"/>
    <mergeCell ref="R164:S164"/>
    <mergeCell ref="C166:D166"/>
    <mergeCell ref="A168:AI168"/>
    <mergeCell ref="A170:AI170"/>
    <mergeCell ref="G172:H172"/>
    <mergeCell ref="J172:K172"/>
    <mergeCell ref="N172:O172"/>
    <mergeCell ref="R172:S172"/>
    <mergeCell ref="V172:W172"/>
    <mergeCell ref="A173:F173"/>
    <mergeCell ref="G173:H173"/>
    <mergeCell ref="J173:K173"/>
    <mergeCell ref="L173:M173"/>
    <mergeCell ref="N173:O173"/>
    <mergeCell ref="P173:Q173"/>
    <mergeCell ref="R173:S173"/>
    <mergeCell ref="T173:U173"/>
    <mergeCell ref="V173:W173"/>
    <mergeCell ref="L196:M196"/>
    <mergeCell ref="N196:O196"/>
    <mergeCell ref="AA196:AB196"/>
    <mergeCell ref="C175:D175"/>
    <mergeCell ref="A177:AI177"/>
    <mergeCell ref="A179:AI179"/>
    <mergeCell ref="A181:F181"/>
    <mergeCell ref="G181:H181"/>
    <mergeCell ref="A183:B183"/>
    <mergeCell ref="C183:D183"/>
    <mergeCell ref="A185:AI185"/>
    <mergeCell ref="A187:AI187"/>
    <mergeCell ref="A189:F189"/>
    <mergeCell ref="G189:H189"/>
    <mergeCell ref="A193:F193"/>
    <mergeCell ref="G193:H193"/>
    <mergeCell ref="A195:F195"/>
    <mergeCell ref="G195:H195"/>
    <mergeCell ref="J195:K195"/>
    <mergeCell ref="A196:F196"/>
    <mergeCell ref="G196:H196"/>
    <mergeCell ref="J196:K196"/>
    <mergeCell ref="A198:F198"/>
    <mergeCell ref="G198:H198"/>
    <mergeCell ref="J198:K198"/>
    <mergeCell ref="N198:O198"/>
    <mergeCell ref="R198:S198"/>
    <mergeCell ref="A199:F199"/>
    <mergeCell ref="G199:H199"/>
    <mergeCell ref="J199:K199"/>
    <mergeCell ref="L199:M199"/>
    <mergeCell ref="N199:O199"/>
    <mergeCell ref="P199:Q199"/>
    <mergeCell ref="R199:S199"/>
    <mergeCell ref="B221:C221"/>
    <mergeCell ref="T199:U199"/>
    <mergeCell ref="V199:W199"/>
    <mergeCell ref="D201:E201"/>
    <mergeCell ref="B203:D203"/>
    <mergeCell ref="A205:AI205"/>
    <mergeCell ref="A207:AI207"/>
    <mergeCell ref="B209:C209"/>
    <mergeCell ref="A217:AI217"/>
    <mergeCell ref="A219:AI219"/>
    <mergeCell ref="A211:AI211"/>
    <mergeCell ref="A213:AI213"/>
    <mergeCell ref="B215:C215"/>
    <mergeCell ref="H203:I203"/>
    <mergeCell ref="L203:M203"/>
  </mergeCells>
  <printOptions horizontalCentered="1"/>
  <pageMargins left="0.25" right="0.25" top="0.75" bottom="0.75" header="0.3" footer="0.3"/>
  <pageSetup paperSize="9" scale="68" orientation="portrait" horizontalDpi="4294967293" verticalDpi="4294967293" r:id="rId1"/>
  <rowBreaks count="3" manualBreakCount="3">
    <brk id="69" max="34" man="1"/>
    <brk id="138" max="34" man="1"/>
    <brk id="210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5">
    <tabColor rgb="FF00B050"/>
  </sheetPr>
  <dimension ref="B1:AG57"/>
  <sheetViews>
    <sheetView view="pageBreakPreview" topLeftCell="A5" zoomScaleSheetLayoutView="100" workbookViewId="0">
      <selection activeCell="I56" sqref="I56"/>
    </sheetView>
  </sheetViews>
  <sheetFormatPr defaultColWidth="9.140625" defaultRowHeight="14.25"/>
  <cols>
    <col min="1" max="1" width="2.28515625" style="157" customWidth="1"/>
    <col min="2" max="2" width="13.85546875" style="234" customWidth="1"/>
    <col min="3" max="3" width="12.85546875" style="234" customWidth="1"/>
    <col min="4" max="4" width="9.140625" style="234"/>
    <col min="5" max="5" width="60.7109375" style="355" customWidth="1"/>
    <col min="6" max="6" width="9.140625" style="234"/>
    <col min="7" max="7" width="9.85546875" style="235" bestFit="1" customWidth="1"/>
    <col min="8" max="8" width="9.140625" style="235"/>
    <col min="9" max="9" width="11.28515625" style="235" bestFit="1" customWidth="1"/>
    <col min="10" max="10" width="9.140625" style="157"/>
    <col min="11" max="11" width="9.140625" style="160"/>
    <col min="12" max="16384" width="9.140625" style="157"/>
  </cols>
  <sheetData>
    <row r="1" spans="2:11" s="153" customFormat="1" ht="21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.75" customHeight="1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354"/>
      <c r="F8" s="233"/>
      <c r="G8" s="233"/>
      <c r="H8" s="233"/>
      <c r="I8" s="233"/>
    </row>
    <row r="9" spans="2:11" ht="15" customHeight="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 ht="15" customHeight="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5">
      <c r="B11" s="158" t="s">
        <v>121</v>
      </c>
      <c r="C11" s="159" t="str">
        <f>'RUA 1'!C11</f>
        <v>1054116-72</v>
      </c>
      <c r="D11" s="194"/>
      <c r="E11" s="194"/>
      <c r="F11" s="194"/>
      <c r="G11" s="194"/>
      <c r="H11" s="194"/>
      <c r="I11" s="194"/>
    </row>
    <row r="12" spans="2:11" ht="15" customHeight="1">
      <c r="B12" s="158" t="s">
        <v>122</v>
      </c>
      <c r="C12" s="515" t="str">
        <f>'RUA 1'!C12:I12</f>
        <v>Pavimentação de diversas ruas no município de Itapororoca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2'!A2</f>
        <v>Rua Vitorino Miguel de Oliveira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ht="28.5" customHeight="1">
      <c r="B15" s="521" t="s">
        <v>125</v>
      </c>
      <c r="C15" s="521"/>
      <c r="D15" s="522" t="s">
        <v>376</v>
      </c>
      <c r="E15" s="522"/>
      <c r="F15" s="522"/>
      <c r="G15" s="522"/>
      <c r="H15" s="235" t="s">
        <v>126</v>
      </c>
      <c r="I15" s="237">
        <f>BDI!B14</f>
        <v>0.2203</v>
      </c>
    </row>
    <row r="17" spans="2:11" ht="15">
      <c r="B17" s="518" t="s">
        <v>127</v>
      </c>
      <c r="C17" s="518" t="s">
        <v>52</v>
      </c>
      <c r="D17" s="518" t="s">
        <v>46</v>
      </c>
      <c r="E17" s="549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1" ht="15">
      <c r="B18" s="518"/>
      <c r="C18" s="518"/>
      <c r="D18" s="518"/>
      <c r="E18" s="549"/>
      <c r="F18" s="518"/>
      <c r="G18" s="519"/>
      <c r="H18" s="239" t="s">
        <v>132</v>
      </c>
      <c r="I18" s="239" t="s">
        <v>133</v>
      </c>
    </row>
    <row r="20" spans="2:11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653.79999999999995</v>
      </c>
    </row>
    <row r="21" spans="2:11">
      <c r="B21" s="176" t="s">
        <v>136</v>
      </c>
      <c r="C21" s="176" t="s">
        <v>137</v>
      </c>
      <c r="D21" s="176" t="s">
        <v>138</v>
      </c>
      <c r="E21" s="360" t="s">
        <v>231</v>
      </c>
      <c r="F21" s="176" t="s">
        <v>85</v>
      </c>
      <c r="G21" s="361">
        <f>'MEMORIAL 2'!J10</f>
        <v>0</v>
      </c>
      <c r="H21" s="361">
        <f>ROUND(K21+(K21*$I$15),2)</f>
        <v>381.08</v>
      </c>
      <c r="I21" s="361">
        <f>ROUND(G21*H21,2)</f>
        <v>0</v>
      </c>
      <c r="K21" s="160">
        <f>'RUA 1'!K21</f>
        <v>312.27999999999997</v>
      </c>
    </row>
    <row r="22" spans="2:11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2'!C18</f>
        <v>1276.79</v>
      </c>
      <c r="H22" s="361">
        <f>ROUND(K22+(K22*$I$15),2)</f>
        <v>0.35</v>
      </c>
      <c r="I22" s="361">
        <f>ROUND(G22*H22,2)</f>
        <v>446.88</v>
      </c>
      <c r="K22" s="160">
        <v>0.28999999999999998</v>
      </c>
    </row>
    <row r="23" spans="2:11" ht="28.5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2'!B24</f>
        <v>2</v>
      </c>
      <c r="H23" s="361">
        <f>ROUND(K23+(K23*$I$15),2)</f>
        <v>103.46</v>
      </c>
      <c r="I23" s="361">
        <f>ROUND(G23*H23,2)</f>
        <v>206.92</v>
      </c>
      <c r="K23" s="160">
        <f>'RUA 1'!K23</f>
        <v>84.78</v>
      </c>
    </row>
    <row r="24" spans="2:11">
      <c r="B24" s="524"/>
      <c r="C24" s="524"/>
      <c r="D24" s="524"/>
      <c r="E24" s="524"/>
      <c r="F24" s="524"/>
      <c r="G24" s="524"/>
      <c r="H24" s="524"/>
      <c r="I24" s="524"/>
    </row>
    <row r="26" spans="2:11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99414.01</v>
      </c>
    </row>
    <row r="27" spans="2:11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2'!B69</f>
        <v>1276.79</v>
      </c>
      <c r="H27" s="361">
        <f>ROUND(K27+(K27*$I$15),2)</f>
        <v>1.43</v>
      </c>
      <c r="I27" s="361">
        <f t="shared" ref="I27:I35" si="0">ROUND(G27*H27,2)</f>
        <v>1825.81</v>
      </c>
      <c r="K27" s="160">
        <v>1.17</v>
      </c>
    </row>
    <row r="28" spans="2:11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'MEMORIAL 2'!B77</f>
        <v>1276.79</v>
      </c>
      <c r="H28" s="361">
        <f>ROUND(K28+(K28*$I$15),2)</f>
        <v>50.13</v>
      </c>
      <c r="I28" s="361">
        <f t="shared" si="0"/>
        <v>64005.48</v>
      </c>
      <c r="K28" s="160">
        <f>'RUA 1'!K28</f>
        <v>41.08</v>
      </c>
    </row>
    <row r="29" spans="2:11">
      <c r="B29" s="176" t="s">
        <v>149</v>
      </c>
      <c r="C29" s="176" t="s">
        <v>150</v>
      </c>
      <c r="D29" s="176" t="s">
        <v>151</v>
      </c>
      <c r="E29" s="360" t="s">
        <v>369</v>
      </c>
      <c r="F29" s="176" t="s">
        <v>148</v>
      </c>
      <c r="G29" s="361">
        <f>'MEMORIAL 2'!B101</f>
        <v>376.06</v>
      </c>
      <c r="H29" s="361">
        <f t="shared" ref="H29:H35" si="1">ROUND(K29+(K29*$I$15),2)</f>
        <v>15.49</v>
      </c>
      <c r="I29" s="361">
        <f t="shared" si="0"/>
        <v>5825.17</v>
      </c>
      <c r="K29" s="160">
        <f>'RUA 1'!K30</f>
        <v>12.69</v>
      </c>
    </row>
    <row r="30" spans="2:11" ht="28.5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2'!B109</f>
        <v>30</v>
      </c>
      <c r="H30" s="361">
        <f t="shared" ref="H30" si="2">ROUND(K30+(K30*$I$15),2)</f>
        <v>15.49</v>
      </c>
      <c r="I30" s="361">
        <f t="shared" ref="I30" si="3">ROUND(G30*H30,2)</f>
        <v>464.7</v>
      </c>
      <c r="K30" s="160">
        <f>'RUA 1'!K30</f>
        <v>12.69</v>
      </c>
    </row>
    <row r="31" spans="2:11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2'!N131</f>
        <v>243.19</v>
      </c>
      <c r="H31" s="361">
        <f t="shared" si="1"/>
        <v>61.73</v>
      </c>
      <c r="I31" s="361">
        <f t="shared" si="0"/>
        <v>15012.12</v>
      </c>
      <c r="K31" s="160">
        <f>'RUA 1'!K31</f>
        <v>50.59</v>
      </c>
    </row>
    <row r="32" spans="2:11" ht="42.75">
      <c r="B32" s="176" t="s">
        <v>145</v>
      </c>
      <c r="C32" s="380" t="s">
        <v>364</v>
      </c>
      <c r="D32" s="176" t="s">
        <v>157</v>
      </c>
      <c r="E32" s="360" t="s">
        <v>156</v>
      </c>
      <c r="F32" s="176" t="s">
        <v>102</v>
      </c>
      <c r="G32" s="361">
        <f>ROUND('MEMORIAL 2'!B137,2)</f>
        <v>8</v>
      </c>
      <c r="H32" s="361">
        <f t="shared" si="1"/>
        <v>677.88</v>
      </c>
      <c r="I32" s="361">
        <f t="shared" si="0"/>
        <v>5423.04</v>
      </c>
      <c r="K32" s="160">
        <f>COMP!K72</f>
        <v>555.5</v>
      </c>
    </row>
    <row r="33" spans="2:33" ht="57">
      <c r="B33" s="176" t="s">
        <v>145</v>
      </c>
      <c r="C33" s="380" t="s">
        <v>421</v>
      </c>
      <c r="D33" s="176" t="s">
        <v>159</v>
      </c>
      <c r="E33" s="360" t="str">
        <f>'RUA 1'!E33</f>
        <v>Piso tátil direcional e/ou alerta, de concreto, colorido, p/deficientes visuais, dimensões 25x25cm, aplicado com argamassa industrializada AC-II, rejuntado, exclusive regularização de base</v>
      </c>
      <c r="F33" s="176" t="s">
        <v>85</v>
      </c>
      <c r="G33" s="361">
        <f>'MEMORIAL 2'!C161</f>
        <v>80.27</v>
      </c>
      <c r="H33" s="361">
        <f t="shared" si="1"/>
        <v>82.39</v>
      </c>
      <c r="I33" s="361">
        <f t="shared" si="0"/>
        <v>6613.45</v>
      </c>
      <c r="K33" s="160">
        <f>COMP!K439</f>
        <v>67.52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2'!B168,2)</f>
        <v>112.82</v>
      </c>
      <c r="H34" s="361">
        <f t="shared" si="1"/>
        <v>1.04</v>
      </c>
      <c r="I34" s="361">
        <f t="shared" si="0"/>
        <v>117.33</v>
      </c>
      <c r="K34" s="160">
        <f>'RUA 1'!K34</f>
        <v>0.85</v>
      </c>
    </row>
    <row r="35" spans="2:33" ht="30" customHeight="1">
      <c r="B35" s="176" t="s">
        <v>161</v>
      </c>
      <c r="C35" s="364" t="s">
        <v>162</v>
      </c>
      <c r="D35" s="176" t="s">
        <v>365</v>
      </c>
      <c r="E35" s="362" t="s">
        <v>164</v>
      </c>
      <c r="F35" s="242" t="s">
        <v>85</v>
      </c>
      <c r="G35" s="361">
        <f>'MEMORIAL 2'!C183</f>
        <v>0.4</v>
      </c>
      <c r="H35" s="361">
        <f t="shared" si="1"/>
        <v>317.27999999999997</v>
      </c>
      <c r="I35" s="361">
        <f t="shared" si="0"/>
        <v>126.91</v>
      </c>
      <c r="K35" s="160">
        <f>'RUA 1'!K35</f>
        <v>260</v>
      </c>
    </row>
    <row r="36" spans="2:33">
      <c r="B36" s="524"/>
      <c r="C36" s="524"/>
      <c r="D36" s="524"/>
      <c r="E36" s="524"/>
      <c r="F36" s="524"/>
      <c r="G36" s="524"/>
      <c r="H36" s="524"/>
      <c r="I36" s="524"/>
    </row>
    <row r="37" spans="2:33">
      <c r="E37" s="356"/>
      <c r="G37" s="234"/>
      <c r="H37" s="234"/>
      <c r="I37" s="234"/>
    </row>
    <row r="38" spans="2:33" s="197" customFormat="1" ht="15">
      <c r="B38" s="238" t="s">
        <v>127</v>
      </c>
      <c r="C38" s="238" t="s">
        <v>52</v>
      </c>
      <c r="D38" s="238" t="s">
        <v>165</v>
      </c>
      <c r="E38" s="523" t="s">
        <v>309</v>
      </c>
      <c r="F38" s="523"/>
      <c r="G38" s="523"/>
      <c r="H38" s="523"/>
      <c r="I38" s="239">
        <f>SUM(I39:I47)</f>
        <v>8512.81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 s="197" customFormat="1">
      <c r="B39" s="376" t="s">
        <v>136</v>
      </c>
      <c r="C39" s="376">
        <v>73610</v>
      </c>
      <c r="D39" s="376" t="s">
        <v>167</v>
      </c>
      <c r="E39" s="377" t="s">
        <v>256</v>
      </c>
      <c r="F39" s="376" t="s">
        <v>148</v>
      </c>
      <c r="G39" s="378">
        <f>'MEMORIAL 2'!C193</f>
        <v>21</v>
      </c>
      <c r="H39" s="378">
        <f>ROUND(K39+(K39*$I$15),2)</f>
        <v>1.06</v>
      </c>
      <c r="I39" s="378">
        <f>ROUND(G39*H39,2)</f>
        <v>22.26</v>
      </c>
      <c r="K39" s="210">
        <f>'RUA 1'!K39</f>
        <v>0.87</v>
      </c>
      <c r="L39" s="20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40"/>
      <c r="AD39" s="224"/>
      <c r="AE39" s="224"/>
      <c r="AF39" s="240"/>
      <c r="AG39" s="240"/>
    </row>
    <row r="40" spans="2:33" s="197" customFormat="1" ht="71.25" customHeight="1">
      <c r="B40" s="176" t="s">
        <v>136</v>
      </c>
      <c r="C40" s="176">
        <v>90092</v>
      </c>
      <c r="D40" s="376" t="s">
        <v>310</v>
      </c>
      <c r="E40" s="177" t="s">
        <v>311</v>
      </c>
      <c r="F40" s="176" t="s">
        <v>58</v>
      </c>
      <c r="G40" s="241">
        <f>'MEMORIAL 2'!C203</f>
        <v>48.61</v>
      </c>
      <c r="H40" s="241">
        <f t="shared" ref="H40:H47" si="4">ROUND(K40+(K40*$I$15),2)</f>
        <v>4.92</v>
      </c>
      <c r="I40" s="241">
        <f>ROUND(G40*H40,2)</f>
        <v>239.16</v>
      </c>
      <c r="K40" s="210">
        <f>'RUA 1'!K40</f>
        <v>4.03</v>
      </c>
      <c r="L40" s="20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40"/>
      <c r="AD40" s="224"/>
      <c r="AE40" s="224"/>
      <c r="AF40" s="240"/>
      <c r="AG40" s="240"/>
    </row>
    <row r="41" spans="2:33" s="197" customFormat="1" ht="42.75">
      <c r="B41" s="176" t="s">
        <v>136</v>
      </c>
      <c r="C41" s="176">
        <v>94045</v>
      </c>
      <c r="D41" s="376" t="s">
        <v>312</v>
      </c>
      <c r="E41" s="177" t="s">
        <v>314</v>
      </c>
      <c r="F41" s="176" t="s">
        <v>85</v>
      </c>
      <c r="G41" s="241">
        <f>'MEMORIAL 2'!C211</f>
        <v>64.8</v>
      </c>
      <c r="H41" s="241">
        <f t="shared" si="4"/>
        <v>12.48</v>
      </c>
      <c r="I41" s="241">
        <f>ROUND(G41*H41,2)</f>
        <v>808.7</v>
      </c>
      <c r="K41" s="210">
        <f>'RUA 1'!K41</f>
        <v>10.23</v>
      </c>
      <c r="L41" s="204"/>
      <c r="M41" s="210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40"/>
      <c r="AD41" s="224"/>
      <c r="AE41" s="224"/>
      <c r="AF41" s="240"/>
      <c r="AG41" s="240"/>
    </row>
    <row r="42" spans="2:33" s="197" customFormat="1">
      <c r="B42" s="176" t="s">
        <v>315</v>
      </c>
      <c r="C42" s="380" t="s">
        <v>363</v>
      </c>
      <c r="D42" s="376" t="s">
        <v>313</v>
      </c>
      <c r="E42" s="177" t="s">
        <v>95</v>
      </c>
      <c r="F42" s="176" t="s">
        <v>58</v>
      </c>
      <c r="G42" s="241">
        <f>'MEMORIAL 2'!C220</f>
        <v>4.7300000000000004</v>
      </c>
      <c r="H42" s="241">
        <f t="shared" si="4"/>
        <v>96.6</v>
      </c>
      <c r="I42" s="241">
        <f t="shared" ref="I42:I47" si="5">ROUND(G42*H42,2)</f>
        <v>456.92</v>
      </c>
      <c r="K42" s="210">
        <f>'RUA 1'!K42</f>
        <v>79.16</v>
      </c>
      <c r="L42" s="20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40"/>
      <c r="AD42" s="224"/>
      <c r="AE42" s="224"/>
      <c r="AF42" s="240"/>
      <c r="AG42" s="240"/>
    </row>
    <row r="43" spans="2:33" s="197" customFormat="1" ht="42.75">
      <c r="B43" s="242" t="s">
        <v>136</v>
      </c>
      <c r="C43" s="242">
        <v>92212</v>
      </c>
      <c r="D43" s="376" t="s">
        <v>316</v>
      </c>
      <c r="E43" s="177" t="s">
        <v>353</v>
      </c>
      <c r="F43" s="176" t="s">
        <v>148</v>
      </c>
      <c r="G43" s="241">
        <f>'MEMORIAL 2'!C228</f>
        <v>21</v>
      </c>
      <c r="H43" s="241">
        <f t="shared" si="4"/>
        <v>156.25</v>
      </c>
      <c r="I43" s="241">
        <f t="shared" si="5"/>
        <v>3281.25</v>
      </c>
      <c r="K43" s="210">
        <f>'RUA 1'!K43</f>
        <v>128.04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40"/>
      <c r="AD43" s="224"/>
      <c r="AE43" s="224"/>
      <c r="AF43" s="240"/>
      <c r="AG43" s="240"/>
    </row>
    <row r="44" spans="2:33" s="197" customFormat="1" ht="71.25">
      <c r="B44" s="176" t="s">
        <v>136</v>
      </c>
      <c r="C44" s="176">
        <v>93360</v>
      </c>
      <c r="D44" s="376" t="s">
        <v>317</v>
      </c>
      <c r="E44" s="177" t="s">
        <v>319</v>
      </c>
      <c r="F44" s="176" t="s">
        <v>58</v>
      </c>
      <c r="G44" s="241">
        <f>'MEMORIAL 2'!B248</f>
        <v>34.770000000000003</v>
      </c>
      <c r="H44" s="241">
        <f t="shared" si="4"/>
        <v>15.07</v>
      </c>
      <c r="I44" s="241">
        <f t="shared" si="5"/>
        <v>523.98</v>
      </c>
      <c r="K44" s="210">
        <f>'RUA 1'!K44</f>
        <v>12.35</v>
      </c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40"/>
      <c r="AD44" s="224"/>
      <c r="AE44" s="224"/>
      <c r="AF44" s="240"/>
      <c r="AG44" s="240"/>
    </row>
    <row r="45" spans="2:33" s="197" customFormat="1" ht="42.75">
      <c r="B45" s="176" t="s">
        <v>136</v>
      </c>
      <c r="C45" s="242">
        <v>83659</v>
      </c>
      <c r="D45" s="376" t="s">
        <v>318</v>
      </c>
      <c r="E45" s="177" t="s">
        <v>322</v>
      </c>
      <c r="F45" s="176" t="s">
        <v>102</v>
      </c>
      <c r="G45" s="241">
        <f>'MEMORIAL 2'!B254</f>
        <v>2</v>
      </c>
      <c r="H45" s="241">
        <f t="shared" si="4"/>
        <v>709.47</v>
      </c>
      <c r="I45" s="241">
        <f t="shared" si="5"/>
        <v>1418.94</v>
      </c>
      <c r="K45" s="210">
        <f>'RUA 1'!K45</f>
        <v>581.39</v>
      </c>
      <c r="L45" s="20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40"/>
      <c r="AD45" s="224"/>
      <c r="AE45" s="224"/>
      <c r="AF45" s="240"/>
      <c r="AG45" s="240"/>
    </row>
    <row r="46" spans="2:33" s="197" customFormat="1" ht="28.5">
      <c r="B46" s="176" t="s">
        <v>315</v>
      </c>
      <c r="C46" s="381" t="s">
        <v>361</v>
      </c>
      <c r="D46" s="376" t="s">
        <v>320</v>
      </c>
      <c r="E46" s="177" t="s">
        <v>324</v>
      </c>
      <c r="F46" s="176" t="s">
        <v>102</v>
      </c>
      <c r="G46" s="241">
        <f>'MEMORIAL 2'!B260</f>
        <v>2</v>
      </c>
      <c r="H46" s="241">
        <f t="shared" si="4"/>
        <v>374.95</v>
      </c>
      <c r="I46" s="241">
        <f t="shared" si="5"/>
        <v>749.9</v>
      </c>
      <c r="K46" s="210">
        <f>COMP!K351</f>
        <v>307.26</v>
      </c>
      <c r="L46" s="20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40"/>
      <c r="AD46" s="224"/>
      <c r="AE46" s="224"/>
      <c r="AF46" s="240"/>
      <c r="AG46" s="240"/>
    </row>
    <row r="47" spans="2:33" s="197" customFormat="1" ht="42.75">
      <c r="B47" s="176" t="s">
        <v>136</v>
      </c>
      <c r="C47" s="176" t="s">
        <v>326</v>
      </c>
      <c r="D47" s="376" t="s">
        <v>321</v>
      </c>
      <c r="E47" s="177" t="s">
        <v>327</v>
      </c>
      <c r="F47" s="176" t="s">
        <v>102</v>
      </c>
      <c r="G47" s="241">
        <f>'MEMORIAL 2'!B266</f>
        <v>1</v>
      </c>
      <c r="H47" s="241">
        <f t="shared" si="4"/>
        <v>1011.7</v>
      </c>
      <c r="I47" s="241">
        <f t="shared" si="5"/>
        <v>1011.7</v>
      </c>
      <c r="K47" s="210">
        <f>'RUA 1'!K47</f>
        <v>829.06</v>
      </c>
      <c r="L47" s="20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40"/>
      <c r="AD47" s="224"/>
      <c r="AE47" s="224"/>
      <c r="AF47" s="240"/>
      <c r="AG47" s="240"/>
    </row>
    <row r="48" spans="2:33" s="197" customFormat="1">
      <c r="B48" s="366"/>
      <c r="C48" s="366"/>
      <c r="D48" s="366"/>
      <c r="E48" s="367"/>
      <c r="F48" s="366"/>
      <c r="G48" s="368"/>
      <c r="H48" s="368"/>
      <c r="I48" s="368"/>
      <c r="K48" s="210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40"/>
      <c r="AA48" s="240"/>
      <c r="AB48" s="224"/>
      <c r="AC48" s="240"/>
      <c r="AD48" s="240"/>
      <c r="AE48" s="240"/>
      <c r="AF48" s="240"/>
      <c r="AG48" s="240"/>
    </row>
    <row r="49" spans="2:33" customFormat="1" ht="15">
      <c r="B49" s="371"/>
      <c r="C49" s="371"/>
      <c r="D49" s="371"/>
      <c r="E49" s="371"/>
      <c r="F49" s="371"/>
      <c r="G49" s="371"/>
      <c r="H49" s="371"/>
      <c r="I49" s="371"/>
    </row>
    <row r="50" spans="2:33" s="197" customFormat="1" ht="15">
      <c r="B50" s="238" t="s">
        <v>127</v>
      </c>
      <c r="C50" s="238" t="s">
        <v>52</v>
      </c>
      <c r="D50" s="238" t="s">
        <v>356</v>
      </c>
      <c r="E50" s="523" t="s">
        <v>166</v>
      </c>
      <c r="F50" s="523"/>
      <c r="G50" s="523"/>
      <c r="H50" s="523"/>
      <c r="I50" s="239">
        <f>SUM(I51)</f>
        <v>497.95</v>
      </c>
      <c r="K50" s="204"/>
      <c r="L50" s="20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40"/>
      <c r="AD50" s="224"/>
      <c r="AE50" s="224"/>
      <c r="AF50" s="240"/>
      <c r="AG50" s="240"/>
    </row>
    <row r="51" spans="2:33">
      <c r="B51" s="176" t="s">
        <v>158</v>
      </c>
      <c r="C51" s="176">
        <v>84523</v>
      </c>
      <c r="D51" s="176" t="s">
        <v>357</v>
      </c>
      <c r="E51" s="196" t="s">
        <v>168</v>
      </c>
      <c r="F51" s="176" t="s">
        <v>85</v>
      </c>
      <c r="G51" s="241">
        <f>'MEMORIAL 2'!B274</f>
        <v>1276.79</v>
      </c>
      <c r="H51" s="244">
        <f>ROUND(K51+(K51*$I$15),2)</f>
        <v>0.39</v>
      </c>
      <c r="I51" s="176">
        <f>ROUND(G51*H51,2)</f>
        <v>497.95</v>
      </c>
      <c r="K51" s="160">
        <f>'RUA 1'!K51</f>
        <v>0.32</v>
      </c>
    </row>
    <row r="52" spans="2:33">
      <c r="B52" s="524"/>
      <c r="C52" s="524"/>
      <c r="D52" s="524"/>
      <c r="E52" s="524"/>
      <c r="F52" s="524"/>
      <c r="G52" s="524"/>
      <c r="H52" s="524"/>
      <c r="I52" s="524"/>
    </row>
    <row r="54" spans="2:33">
      <c r="B54" s="550" t="s">
        <v>133</v>
      </c>
      <c r="C54" s="551"/>
      <c r="D54" s="551"/>
      <c r="E54" s="551"/>
      <c r="F54" s="551"/>
      <c r="G54" s="551"/>
      <c r="H54" s="552"/>
      <c r="I54" s="556">
        <f>I26+I20+I50+I38-0.01</f>
        <v>109078.56</v>
      </c>
    </row>
    <row r="55" spans="2:33">
      <c r="B55" s="553"/>
      <c r="C55" s="554"/>
      <c r="D55" s="554"/>
      <c r="E55" s="554"/>
      <c r="F55" s="554"/>
      <c r="G55" s="554"/>
      <c r="H55" s="555"/>
      <c r="I55" s="557"/>
    </row>
    <row r="57" spans="2:33">
      <c r="B57" s="245"/>
    </row>
  </sheetData>
  <mergeCells count="29">
    <mergeCell ref="B54:H55"/>
    <mergeCell ref="I54:I55"/>
    <mergeCell ref="E20:H20"/>
    <mergeCell ref="B24:I24"/>
    <mergeCell ref="E26:H26"/>
    <mergeCell ref="B36:I36"/>
    <mergeCell ref="E50:H50"/>
    <mergeCell ref="B52:I52"/>
    <mergeCell ref="E38:H38"/>
    <mergeCell ref="C13:I13"/>
    <mergeCell ref="B17:B18"/>
    <mergeCell ref="C17:C18"/>
    <mergeCell ref="D17:D18"/>
    <mergeCell ref="E17:E18"/>
    <mergeCell ref="F17:F18"/>
    <mergeCell ref="G17:G18"/>
    <mergeCell ref="H17:I17"/>
    <mergeCell ref="B15:C15"/>
    <mergeCell ref="D15:G15"/>
    <mergeCell ref="B1:I1"/>
    <mergeCell ref="B2:I2"/>
    <mergeCell ref="B3:I3"/>
    <mergeCell ref="C12:I12"/>
    <mergeCell ref="B10:I10"/>
    <mergeCell ref="B4:I4"/>
    <mergeCell ref="B5:I5"/>
    <mergeCell ref="B6:I6"/>
    <mergeCell ref="B7:I7"/>
    <mergeCell ref="B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ilha6"/>
  <dimension ref="A2:AO274"/>
  <sheetViews>
    <sheetView view="pageBreakPreview" topLeftCell="A223" zoomScaleSheetLayoutView="100" workbookViewId="0">
      <selection activeCell="V244" sqref="V244:W244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8" width="3.7109375" style="200" customWidth="1"/>
    <col min="9" max="9" width="4.42578125" style="200" customWidth="1"/>
    <col min="10" max="13" width="3.7109375" style="200" customWidth="1"/>
    <col min="14" max="15" width="3.7109375" style="199" customWidth="1"/>
    <col min="16" max="18" width="3.7109375" style="200" customWidth="1"/>
    <col min="19" max="19" width="3.7109375" style="199" customWidth="1"/>
    <col min="20" max="34" width="3.71093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380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35" t="s">
        <v>171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0</v>
      </c>
      <c r="C10" s="543"/>
      <c r="D10" s="199" t="s">
        <v>148</v>
      </c>
      <c r="E10" s="198" t="s">
        <v>175</v>
      </c>
      <c r="F10" s="543">
        <f>AK10</f>
        <v>0</v>
      </c>
      <c r="G10" s="543"/>
      <c r="H10" s="199" t="s">
        <v>148</v>
      </c>
      <c r="I10" s="198" t="s">
        <v>176</v>
      </c>
      <c r="J10" s="543">
        <f>B10*F10</f>
        <v>0</v>
      </c>
      <c r="K10" s="543"/>
      <c r="L10" s="199" t="s">
        <v>85</v>
      </c>
      <c r="N10" s="198"/>
      <c r="O10" s="198"/>
      <c r="AJ10" s="201">
        <v>0</v>
      </c>
      <c r="AK10" s="201">
        <v>0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AJ75</f>
        <v>199.72</v>
      </c>
      <c r="C16" s="530"/>
      <c r="D16" s="200" t="s">
        <v>148</v>
      </c>
      <c r="E16" s="214" t="s">
        <v>175</v>
      </c>
      <c r="F16" s="205"/>
      <c r="G16" s="543">
        <f>AK75</f>
        <v>6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0">
      <c r="A17" s="200" t="s">
        <v>443</v>
      </c>
      <c r="B17" s="204"/>
      <c r="C17" s="204"/>
      <c r="D17" s="204"/>
      <c r="E17" s="525">
        <v>78.47</v>
      </c>
      <c r="F17" s="525"/>
      <c r="AJ17" s="201"/>
      <c r="AK17" s="202"/>
      <c r="AL17" s="202"/>
      <c r="AM17" s="203"/>
      <c r="AN17" s="203"/>
    </row>
    <row r="18" spans="1:40">
      <c r="A18" s="200" t="s">
        <v>185</v>
      </c>
      <c r="B18" s="204"/>
      <c r="C18" s="525">
        <f>B16*G16+E17</f>
        <v>1276.79</v>
      </c>
      <c r="D18" s="525"/>
      <c r="E18" s="525"/>
      <c r="F18" s="206" t="s">
        <v>85</v>
      </c>
      <c r="AJ18" s="201"/>
      <c r="AK18" s="202"/>
      <c r="AL18" s="202"/>
      <c r="AM18" s="203"/>
      <c r="AN18" s="203"/>
    </row>
    <row r="19" spans="1:40">
      <c r="F19" s="216"/>
      <c r="G19" s="216"/>
      <c r="N19" s="200"/>
      <c r="O19" s="200"/>
      <c r="S19" s="200"/>
      <c r="AJ19" s="201"/>
      <c r="AK19" s="202"/>
      <c r="AL19" s="202"/>
      <c r="AM19" s="203"/>
      <c r="AN19" s="203"/>
    </row>
    <row r="20" spans="1:40" ht="15">
      <c r="A20" s="542" t="s">
        <v>428</v>
      </c>
      <c r="B20" s="542"/>
      <c r="C20" s="542"/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542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201"/>
      <c r="AK20" s="202"/>
      <c r="AL20" s="202"/>
      <c r="AM20" s="203"/>
      <c r="AN20" s="203"/>
    </row>
    <row r="21" spans="1:40">
      <c r="AJ21" s="201"/>
      <c r="AK21" s="202"/>
      <c r="AL21" s="202"/>
      <c r="AM21" s="203"/>
      <c r="AN21" s="203"/>
    </row>
    <row r="22" spans="1:40">
      <c r="A22" s="530" t="s">
        <v>442</v>
      </c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530"/>
      <c r="AB22" s="530"/>
      <c r="AC22" s="530"/>
      <c r="AD22" s="530"/>
      <c r="AE22" s="530"/>
      <c r="AF22" s="530"/>
      <c r="AG22" s="530"/>
      <c r="AH22" s="530"/>
      <c r="AI22" s="530"/>
      <c r="AJ22" s="201"/>
      <c r="AK22" s="202"/>
      <c r="AL22" s="202"/>
      <c r="AM22" s="203"/>
      <c r="AN22" s="203"/>
    </row>
    <row r="23" spans="1:40">
      <c r="AJ23" s="201" t="s">
        <v>178</v>
      </c>
      <c r="AK23" s="202"/>
      <c r="AL23" s="202"/>
      <c r="AM23" s="203"/>
      <c r="AN23" s="203"/>
    </row>
    <row r="24" spans="1:40">
      <c r="A24" s="200" t="s">
        <v>179</v>
      </c>
      <c r="B24" s="543">
        <f>AJ24</f>
        <v>2</v>
      </c>
      <c r="C24" s="543"/>
      <c r="D24" s="200" t="s">
        <v>102</v>
      </c>
      <c r="AJ24" s="201">
        <v>2</v>
      </c>
      <c r="AK24" s="202"/>
      <c r="AL24" s="202"/>
      <c r="AM24" s="203"/>
      <c r="AN24" s="203"/>
    </row>
    <row r="25" spans="1:40">
      <c r="AJ25" s="201"/>
      <c r="AK25" s="202"/>
      <c r="AL25" s="202"/>
      <c r="AM25" s="203"/>
      <c r="AN25" s="203"/>
    </row>
    <row r="26" spans="1:40" s="197" customFormat="1" ht="15" hidden="1">
      <c r="A26" s="559" t="s">
        <v>232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59"/>
      <c r="Q26" s="559"/>
      <c r="R26" s="559"/>
      <c r="S26" s="559"/>
      <c r="T26" s="559"/>
      <c r="U26" s="559"/>
      <c r="V26" s="559"/>
      <c r="W26" s="559"/>
      <c r="X26" s="559"/>
      <c r="Y26" s="559"/>
      <c r="Z26" s="559"/>
      <c r="AA26" s="559"/>
      <c r="AB26" s="559"/>
      <c r="AC26" s="559"/>
      <c r="AD26" s="559"/>
      <c r="AE26" s="559"/>
      <c r="AF26" s="559"/>
      <c r="AG26" s="559"/>
      <c r="AH26" s="559"/>
      <c r="AI26" s="559"/>
      <c r="AJ26" s="207"/>
      <c r="AK26" s="208"/>
      <c r="AL26" s="208"/>
      <c r="AM26" s="209"/>
      <c r="AN26" s="209"/>
    </row>
    <row r="27" spans="1:40" s="197" customFormat="1" hidden="1">
      <c r="N27" s="210"/>
      <c r="O27" s="210"/>
      <c r="S27" s="210"/>
      <c r="AJ27" s="207"/>
      <c r="AK27" s="208"/>
      <c r="AL27" s="208"/>
      <c r="AM27" s="209"/>
      <c r="AN27" s="209"/>
    </row>
    <row r="28" spans="1:40" s="197" customFormat="1" hidden="1">
      <c r="A28" s="558" t="s">
        <v>233</v>
      </c>
      <c r="B28" s="558"/>
      <c r="C28" s="558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  <c r="Q28" s="558"/>
      <c r="R28" s="558"/>
      <c r="S28" s="558"/>
      <c r="T28" s="558"/>
      <c r="U28" s="558"/>
      <c r="V28" s="558"/>
      <c r="W28" s="558"/>
      <c r="X28" s="558"/>
      <c r="Y28" s="558"/>
      <c r="Z28" s="558"/>
      <c r="AA28" s="558"/>
      <c r="AB28" s="558"/>
      <c r="AC28" s="558"/>
      <c r="AD28" s="558"/>
      <c r="AE28" s="558"/>
      <c r="AF28" s="558"/>
      <c r="AG28" s="558"/>
      <c r="AH28" s="558"/>
      <c r="AI28" s="558"/>
      <c r="AJ28" s="207"/>
      <c r="AK28" s="208"/>
      <c r="AL28" s="208"/>
      <c r="AM28" s="209"/>
      <c r="AN28" s="209"/>
    </row>
    <row r="29" spans="1:40" s="197" customFormat="1" hidden="1">
      <c r="N29" s="210"/>
      <c r="O29" s="210"/>
      <c r="S29" s="210"/>
      <c r="AJ29" s="207" t="s">
        <v>234</v>
      </c>
      <c r="AK29" s="208"/>
      <c r="AL29" s="208"/>
      <c r="AM29" s="209"/>
      <c r="AN29" s="209"/>
    </row>
    <row r="30" spans="1:40" s="197" customFormat="1" hidden="1">
      <c r="A30" s="197" t="s">
        <v>235</v>
      </c>
      <c r="B30" s="560">
        <f>AJ30</f>
        <v>1</v>
      </c>
      <c r="C30" s="560"/>
      <c r="D30" s="558" t="s">
        <v>102</v>
      </c>
      <c r="E30" s="558"/>
      <c r="N30" s="210"/>
      <c r="O30" s="210"/>
      <c r="S30" s="210"/>
      <c r="AJ30" s="207">
        <v>1</v>
      </c>
      <c r="AK30" s="208"/>
      <c r="AL30" s="208"/>
      <c r="AM30" s="209"/>
      <c r="AN30" s="209"/>
    </row>
    <row r="31" spans="1:40" s="197" customFormat="1" hidden="1">
      <c r="N31" s="210"/>
      <c r="O31" s="210"/>
      <c r="S31" s="210"/>
      <c r="AJ31" s="207"/>
      <c r="AK31" s="208"/>
      <c r="AL31" s="208"/>
      <c r="AM31" s="209"/>
      <c r="AN31" s="209"/>
    </row>
    <row r="32" spans="1:40" s="197" customFormat="1" hidden="1">
      <c r="N32" s="210"/>
      <c r="O32" s="210"/>
      <c r="S32" s="210"/>
      <c r="AJ32" s="207"/>
      <c r="AK32" s="208"/>
      <c r="AL32" s="208"/>
      <c r="AM32" s="209"/>
      <c r="AN32" s="209"/>
    </row>
    <row r="33" spans="1:40" s="197" customFormat="1" ht="15" hidden="1">
      <c r="A33" s="559" t="s">
        <v>236</v>
      </c>
      <c r="B33" s="559"/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9"/>
      <c r="V33" s="559"/>
      <c r="W33" s="559"/>
      <c r="X33" s="559"/>
      <c r="Y33" s="559"/>
      <c r="Z33" s="559"/>
      <c r="AA33" s="559"/>
      <c r="AB33" s="559"/>
      <c r="AC33" s="559"/>
      <c r="AD33" s="559"/>
      <c r="AE33" s="559"/>
      <c r="AF33" s="559"/>
      <c r="AG33" s="559"/>
      <c r="AH33" s="559"/>
      <c r="AI33" s="559"/>
      <c r="AJ33" s="207"/>
      <c r="AK33" s="208"/>
      <c r="AL33" s="208"/>
      <c r="AM33" s="209"/>
      <c r="AN33" s="209"/>
    </row>
    <row r="34" spans="1:40" s="197" customFormat="1" hidden="1">
      <c r="N34" s="210"/>
      <c r="O34" s="210"/>
      <c r="S34" s="210"/>
      <c r="AJ34" s="207"/>
      <c r="AK34" s="208"/>
      <c r="AL34" s="208"/>
      <c r="AM34" s="209"/>
      <c r="AN34" s="209"/>
    </row>
    <row r="35" spans="1:40" s="197" customFormat="1" hidden="1">
      <c r="A35" s="558" t="s">
        <v>233</v>
      </c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558"/>
      <c r="R35" s="558"/>
      <c r="S35" s="558"/>
      <c r="T35" s="558"/>
      <c r="U35" s="558"/>
      <c r="V35" s="558"/>
      <c r="W35" s="558"/>
      <c r="X35" s="558"/>
      <c r="Y35" s="558"/>
      <c r="Z35" s="558"/>
      <c r="AA35" s="558"/>
      <c r="AB35" s="558"/>
      <c r="AC35" s="558"/>
      <c r="AD35" s="558"/>
      <c r="AE35" s="558"/>
      <c r="AF35" s="558"/>
      <c r="AG35" s="558"/>
      <c r="AH35" s="558"/>
      <c r="AI35" s="558"/>
      <c r="AJ35" s="207"/>
      <c r="AK35" s="208"/>
      <c r="AL35" s="208"/>
      <c r="AM35" s="209"/>
      <c r="AN35" s="209"/>
    </row>
    <row r="36" spans="1:40" s="197" customFormat="1" hidden="1">
      <c r="N36" s="210"/>
      <c r="O36" s="210"/>
      <c r="S36" s="210"/>
      <c r="AJ36" s="207" t="s">
        <v>234</v>
      </c>
      <c r="AK36" s="208"/>
      <c r="AL36" s="208"/>
      <c r="AM36" s="209"/>
      <c r="AN36" s="209"/>
    </row>
    <row r="37" spans="1:40" s="197" customFormat="1" hidden="1">
      <c r="A37" s="197" t="s">
        <v>235</v>
      </c>
      <c r="B37" s="560">
        <f>AJ37</f>
        <v>1</v>
      </c>
      <c r="C37" s="560"/>
      <c r="D37" s="558" t="s">
        <v>102</v>
      </c>
      <c r="E37" s="558"/>
      <c r="N37" s="210"/>
      <c r="O37" s="210"/>
      <c r="S37" s="210"/>
      <c r="AJ37" s="207">
        <v>1</v>
      </c>
      <c r="AK37" s="208"/>
      <c r="AL37" s="208"/>
      <c r="AM37" s="209"/>
      <c r="AN37" s="209"/>
    </row>
    <row r="38" spans="1:40" s="197" customFormat="1" hidden="1">
      <c r="N38" s="210"/>
      <c r="O38" s="210"/>
      <c r="S38" s="210"/>
      <c r="AJ38" s="207"/>
      <c r="AK38" s="208"/>
      <c r="AL38" s="208"/>
      <c r="AM38" s="209"/>
      <c r="AN38" s="209"/>
    </row>
    <row r="39" spans="1:40" s="197" customFormat="1" hidden="1">
      <c r="N39" s="210"/>
      <c r="O39" s="210"/>
      <c r="S39" s="210"/>
      <c r="AJ39" s="207"/>
      <c r="AK39" s="208"/>
      <c r="AL39" s="208"/>
      <c r="AM39" s="209"/>
      <c r="AN39" s="209"/>
    </row>
    <row r="40" spans="1:40" s="197" customFormat="1" ht="15" hidden="1">
      <c r="A40" s="559" t="s">
        <v>237</v>
      </c>
      <c r="B40" s="559"/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  <c r="AB40" s="559"/>
      <c r="AC40" s="559"/>
      <c r="AD40" s="559"/>
      <c r="AE40" s="559"/>
      <c r="AF40" s="559"/>
      <c r="AG40" s="559"/>
      <c r="AH40" s="559"/>
      <c r="AI40" s="559"/>
      <c r="AJ40" s="207"/>
      <c r="AK40" s="208"/>
      <c r="AL40" s="208"/>
      <c r="AM40" s="209"/>
      <c r="AN40" s="209"/>
    </row>
    <row r="41" spans="1:40" s="197" customFormat="1" hidden="1">
      <c r="N41" s="210"/>
      <c r="O41" s="210"/>
      <c r="S41" s="210"/>
      <c r="AJ41" s="207"/>
      <c r="AK41" s="208"/>
      <c r="AL41" s="208"/>
      <c r="AM41" s="209"/>
      <c r="AN41" s="209"/>
    </row>
    <row r="42" spans="1:40" s="197" customFormat="1" hidden="1">
      <c r="A42" s="558" t="s">
        <v>233</v>
      </c>
      <c r="B42" s="558"/>
      <c r="C42" s="558"/>
      <c r="D42" s="558"/>
      <c r="E42" s="558"/>
      <c r="F42" s="558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8"/>
      <c r="S42" s="558"/>
      <c r="T42" s="558"/>
      <c r="U42" s="558"/>
      <c r="V42" s="558"/>
      <c r="W42" s="558"/>
      <c r="X42" s="558"/>
      <c r="Y42" s="558"/>
      <c r="Z42" s="558"/>
      <c r="AA42" s="558"/>
      <c r="AB42" s="558"/>
      <c r="AC42" s="558"/>
      <c r="AD42" s="558"/>
      <c r="AE42" s="558"/>
      <c r="AF42" s="558"/>
      <c r="AG42" s="558"/>
      <c r="AH42" s="558"/>
      <c r="AI42" s="558"/>
      <c r="AJ42" s="207"/>
      <c r="AK42" s="208"/>
      <c r="AL42" s="208"/>
      <c r="AM42" s="209"/>
      <c r="AN42" s="209"/>
    </row>
    <row r="43" spans="1:40" s="197" customFormat="1" hidden="1">
      <c r="N43" s="210"/>
      <c r="O43" s="210"/>
      <c r="S43" s="210"/>
      <c r="AJ43" s="207" t="s">
        <v>234</v>
      </c>
      <c r="AK43" s="208"/>
      <c r="AL43" s="208"/>
      <c r="AM43" s="209"/>
      <c r="AN43" s="209"/>
    </row>
    <row r="44" spans="1:40" s="197" customFormat="1" hidden="1">
      <c r="A44" s="197" t="s">
        <v>235</v>
      </c>
      <c r="B44" s="560">
        <f>AJ44</f>
        <v>1</v>
      </c>
      <c r="C44" s="560"/>
      <c r="D44" s="558" t="s">
        <v>102</v>
      </c>
      <c r="E44" s="558"/>
      <c r="N44" s="210"/>
      <c r="O44" s="210"/>
      <c r="S44" s="210"/>
      <c r="AJ44" s="207">
        <v>1</v>
      </c>
      <c r="AK44" s="208"/>
      <c r="AL44" s="208"/>
      <c r="AM44" s="209"/>
      <c r="AN44" s="209"/>
    </row>
    <row r="45" spans="1:40" s="197" customFormat="1" hidden="1">
      <c r="N45" s="210"/>
      <c r="O45" s="210"/>
      <c r="S45" s="210"/>
      <c r="AJ45" s="211"/>
      <c r="AK45" s="208"/>
      <c r="AL45" s="208"/>
      <c r="AM45" s="209"/>
      <c r="AN45" s="209"/>
    </row>
    <row r="46" spans="1:40" s="197" customFormat="1" hidden="1">
      <c r="N46" s="210"/>
      <c r="O46" s="210"/>
      <c r="S46" s="210"/>
      <c r="AJ46" s="211"/>
      <c r="AK46" s="208"/>
      <c r="AL46" s="208"/>
      <c r="AM46" s="209"/>
      <c r="AN46" s="209"/>
    </row>
    <row r="47" spans="1:40" s="197" customFormat="1" ht="15" hidden="1">
      <c r="A47" s="559" t="s">
        <v>238</v>
      </c>
      <c r="B47" s="559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211"/>
      <c r="AK47" s="208"/>
      <c r="AL47" s="208"/>
      <c r="AM47" s="209"/>
      <c r="AN47" s="209"/>
    </row>
    <row r="48" spans="1:40" s="197" customFormat="1" hidden="1">
      <c r="N48" s="210"/>
      <c r="O48" s="210"/>
      <c r="S48" s="210"/>
      <c r="AJ48" s="211"/>
      <c r="AK48" s="208"/>
      <c r="AL48" s="208"/>
      <c r="AM48" s="209"/>
      <c r="AN48" s="209"/>
    </row>
    <row r="49" spans="1:40" s="197" customFormat="1" hidden="1">
      <c r="A49" s="558" t="s">
        <v>233</v>
      </c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8"/>
      <c r="AE49" s="558"/>
      <c r="AF49" s="558"/>
      <c r="AG49" s="558"/>
      <c r="AH49" s="558"/>
      <c r="AI49" s="558"/>
      <c r="AJ49" s="211"/>
      <c r="AK49" s="208"/>
      <c r="AL49" s="208"/>
      <c r="AM49" s="209"/>
      <c r="AN49" s="209"/>
    </row>
    <row r="50" spans="1:40" s="197" customFormat="1" hidden="1">
      <c r="N50" s="210"/>
      <c r="O50" s="210"/>
      <c r="S50" s="210"/>
      <c r="AJ50" s="207" t="s">
        <v>234</v>
      </c>
      <c r="AK50" s="208"/>
      <c r="AL50" s="208"/>
      <c r="AM50" s="209"/>
      <c r="AN50" s="209"/>
    </row>
    <row r="51" spans="1:40" s="197" customFormat="1" hidden="1">
      <c r="A51" s="197" t="s">
        <v>235</v>
      </c>
      <c r="B51" s="560">
        <f>AJ51</f>
        <v>1</v>
      </c>
      <c r="C51" s="560"/>
      <c r="D51" s="558" t="s">
        <v>102</v>
      </c>
      <c r="E51" s="558"/>
      <c r="N51" s="210"/>
      <c r="O51" s="210"/>
      <c r="S51" s="210"/>
      <c r="AJ51" s="207">
        <v>1</v>
      </c>
      <c r="AK51" s="208"/>
      <c r="AL51" s="208"/>
      <c r="AM51" s="209"/>
      <c r="AN51" s="209"/>
    </row>
    <row r="52" spans="1:40" s="197" customFormat="1" hidden="1">
      <c r="N52" s="210"/>
      <c r="O52" s="210"/>
      <c r="S52" s="210"/>
      <c r="AJ52" s="207"/>
      <c r="AK52" s="208"/>
      <c r="AL52" s="208"/>
      <c r="AM52" s="209"/>
      <c r="AN52" s="209"/>
    </row>
    <row r="53" spans="1:40" s="197" customFormat="1" hidden="1">
      <c r="N53" s="210"/>
      <c r="O53" s="210"/>
      <c r="S53" s="210"/>
      <c r="AJ53" s="207"/>
      <c r="AK53" s="208"/>
      <c r="AL53" s="208"/>
      <c r="AM53" s="209"/>
      <c r="AN53" s="209"/>
    </row>
    <row r="54" spans="1:40" s="197" customFormat="1" ht="15" hidden="1">
      <c r="A54" s="559" t="s">
        <v>239</v>
      </c>
      <c r="B54" s="559"/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P54" s="559"/>
      <c r="Q54" s="559"/>
      <c r="R54" s="559"/>
      <c r="S54" s="559"/>
      <c r="T54" s="559"/>
      <c r="U54" s="559"/>
      <c r="V54" s="559"/>
      <c r="W54" s="559"/>
      <c r="X54" s="559"/>
      <c r="Y54" s="559"/>
      <c r="Z54" s="559"/>
      <c r="AA54" s="559"/>
      <c r="AB54" s="559"/>
      <c r="AC54" s="559"/>
      <c r="AD54" s="559"/>
      <c r="AE54" s="559"/>
      <c r="AF54" s="559"/>
      <c r="AG54" s="559"/>
      <c r="AH54" s="559"/>
      <c r="AI54" s="559"/>
      <c r="AJ54" s="207"/>
      <c r="AK54" s="208"/>
      <c r="AL54" s="208"/>
      <c r="AM54" s="209"/>
      <c r="AN54" s="209"/>
    </row>
    <row r="55" spans="1:40" s="197" customFormat="1" hidden="1">
      <c r="N55" s="210"/>
      <c r="O55" s="210"/>
      <c r="S55" s="210"/>
      <c r="AJ55" s="207"/>
      <c r="AK55" s="208"/>
      <c r="AL55" s="208"/>
      <c r="AM55" s="209"/>
      <c r="AN55" s="209"/>
    </row>
    <row r="56" spans="1:40" s="197" customFormat="1" hidden="1">
      <c r="A56" s="558" t="s">
        <v>233</v>
      </c>
      <c r="B56" s="558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558"/>
      <c r="S56" s="558"/>
      <c r="T56" s="558"/>
      <c r="U56" s="558"/>
      <c r="V56" s="558"/>
      <c r="W56" s="558"/>
      <c r="X56" s="558"/>
      <c r="Y56" s="558"/>
      <c r="Z56" s="558"/>
      <c r="AA56" s="558"/>
      <c r="AB56" s="558"/>
      <c r="AC56" s="558"/>
      <c r="AD56" s="558"/>
      <c r="AE56" s="558"/>
      <c r="AF56" s="558"/>
      <c r="AG56" s="558"/>
      <c r="AH56" s="558"/>
      <c r="AI56" s="558"/>
      <c r="AJ56" s="207"/>
      <c r="AK56" s="208"/>
      <c r="AL56" s="208"/>
      <c r="AM56" s="209"/>
      <c r="AN56" s="209"/>
    </row>
    <row r="57" spans="1:40" s="197" customFormat="1" hidden="1">
      <c r="N57" s="210"/>
      <c r="O57" s="210"/>
      <c r="S57" s="210"/>
      <c r="AJ57" s="207" t="s">
        <v>234</v>
      </c>
      <c r="AK57" s="208"/>
      <c r="AL57" s="208"/>
      <c r="AM57" s="209"/>
      <c r="AN57" s="209"/>
    </row>
    <row r="58" spans="1:40" s="197" customFormat="1" hidden="1">
      <c r="A58" s="197" t="s">
        <v>235</v>
      </c>
      <c r="B58" s="560">
        <f>AJ58</f>
        <v>1</v>
      </c>
      <c r="C58" s="560"/>
      <c r="D58" s="558" t="s">
        <v>102</v>
      </c>
      <c r="E58" s="558"/>
      <c r="N58" s="210"/>
      <c r="O58" s="210"/>
      <c r="S58" s="210"/>
      <c r="AJ58" s="207">
        <v>1</v>
      </c>
      <c r="AK58" s="208"/>
      <c r="AL58" s="208"/>
      <c r="AM58" s="209"/>
      <c r="AN58" s="209"/>
    </row>
    <row r="59" spans="1:40" s="197" customFormat="1" hidden="1">
      <c r="N59" s="210"/>
      <c r="O59" s="210"/>
      <c r="S59" s="210"/>
      <c r="AJ59" s="207"/>
      <c r="AK59" s="208"/>
      <c r="AL59" s="208"/>
      <c r="AM59" s="209"/>
      <c r="AN59" s="209"/>
    </row>
    <row r="60" spans="1:40" s="197" customFormat="1" hidden="1">
      <c r="N60" s="210"/>
      <c r="O60" s="210"/>
      <c r="S60" s="210"/>
      <c r="AJ60" s="207"/>
      <c r="AK60" s="208"/>
      <c r="AL60" s="208"/>
      <c r="AM60" s="209"/>
      <c r="AN60" s="209"/>
    </row>
    <row r="61" spans="1:40" ht="15">
      <c r="A61" s="539" t="s">
        <v>180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1"/>
      <c r="AJ61" s="201"/>
      <c r="AK61" s="202"/>
      <c r="AL61" s="202"/>
      <c r="AM61" s="203"/>
      <c r="AN61" s="203"/>
    </row>
    <row r="62" spans="1:40">
      <c r="AJ62" s="201"/>
      <c r="AK62" s="202"/>
      <c r="AL62" s="202"/>
      <c r="AM62" s="203"/>
      <c r="AN62" s="203"/>
    </row>
    <row r="63" spans="1:40" ht="15">
      <c r="A63" s="542" t="s">
        <v>409</v>
      </c>
      <c r="B63" s="542"/>
      <c r="C63" s="542"/>
      <c r="D63" s="542"/>
      <c r="E63" s="542"/>
      <c r="F63" s="542"/>
      <c r="G63" s="542"/>
      <c r="H63" s="542"/>
      <c r="I63" s="542"/>
      <c r="J63" s="542"/>
      <c r="K63" s="542"/>
      <c r="L63" s="542"/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  <c r="X63" s="542"/>
      <c r="Y63" s="542"/>
      <c r="Z63" s="542"/>
      <c r="AA63" s="542"/>
      <c r="AB63" s="542"/>
      <c r="AC63" s="542"/>
      <c r="AD63" s="542"/>
      <c r="AE63" s="542"/>
      <c r="AF63" s="542"/>
      <c r="AG63" s="542"/>
      <c r="AH63" s="542"/>
      <c r="AI63" s="542"/>
      <c r="AJ63" s="201"/>
      <c r="AK63" s="202"/>
      <c r="AL63" s="202"/>
      <c r="AM63" s="203"/>
      <c r="AN63" s="203"/>
    </row>
    <row r="64" spans="1:40">
      <c r="AJ64" s="201"/>
      <c r="AK64" s="202"/>
      <c r="AL64" s="202"/>
      <c r="AM64" s="203"/>
      <c r="AN64" s="203"/>
    </row>
    <row r="65" spans="1:40">
      <c r="A65" s="530" t="s">
        <v>248</v>
      </c>
      <c r="B65" s="530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0"/>
      <c r="S65" s="530"/>
      <c r="T65" s="530"/>
      <c r="U65" s="530"/>
      <c r="V65" s="530"/>
      <c r="W65" s="530"/>
      <c r="X65" s="530"/>
      <c r="Y65" s="530"/>
      <c r="Z65" s="530"/>
      <c r="AA65" s="530"/>
      <c r="AB65" s="530"/>
      <c r="AC65" s="530"/>
      <c r="AD65" s="530"/>
      <c r="AE65" s="530"/>
      <c r="AF65" s="530"/>
      <c r="AG65" s="530"/>
      <c r="AH65" s="530"/>
      <c r="AI65" s="530"/>
      <c r="AJ65" s="201"/>
      <c r="AK65" s="202"/>
      <c r="AL65" s="202"/>
      <c r="AM65" s="203"/>
      <c r="AN65" s="203"/>
    </row>
    <row r="66" spans="1:40">
      <c r="A66" s="526"/>
      <c r="B66" s="526"/>
      <c r="C66" s="526"/>
      <c r="D66" s="526"/>
      <c r="E66" s="526"/>
      <c r="F66" s="526"/>
      <c r="G66" s="526"/>
      <c r="H66" s="526"/>
      <c r="I66" s="526"/>
      <c r="J66" s="526"/>
      <c r="K66" s="526"/>
      <c r="L66" s="526"/>
      <c r="M66" s="526"/>
      <c r="N66" s="526"/>
      <c r="O66" s="526"/>
      <c r="P66" s="526"/>
      <c r="Q66" s="526"/>
      <c r="R66" s="526"/>
      <c r="S66" s="526"/>
      <c r="T66" s="526"/>
      <c r="U66" s="526"/>
      <c r="V66" s="526"/>
      <c r="W66" s="526"/>
      <c r="X66" s="526"/>
      <c r="Y66" s="526"/>
      <c r="Z66" s="526"/>
      <c r="AA66" s="526"/>
      <c r="AB66" s="526"/>
      <c r="AC66" s="526"/>
      <c r="AD66" s="526"/>
      <c r="AE66" s="526"/>
      <c r="AF66" s="526"/>
      <c r="AG66" s="526"/>
      <c r="AH66" s="526"/>
      <c r="AI66" s="526"/>
      <c r="AJ66" s="212"/>
      <c r="AK66" s="212"/>
      <c r="AL66" s="212"/>
      <c r="AM66" s="213"/>
      <c r="AN66" s="203"/>
    </row>
    <row r="67" spans="1:40">
      <c r="A67" s="200" t="s">
        <v>174</v>
      </c>
      <c r="B67" s="543">
        <f>AJ75</f>
        <v>199.72</v>
      </c>
      <c r="C67" s="530"/>
      <c r="D67" s="200" t="s">
        <v>148</v>
      </c>
      <c r="E67" s="214" t="s">
        <v>175</v>
      </c>
      <c r="F67" s="205"/>
      <c r="G67" s="543">
        <f>AK75</f>
        <v>6</v>
      </c>
      <c r="H67" s="543"/>
      <c r="I67" s="200" t="s">
        <v>148</v>
      </c>
      <c r="J67" s="214"/>
      <c r="K67" s="199"/>
      <c r="L67" s="199"/>
      <c r="N67" s="198"/>
      <c r="P67" s="199"/>
      <c r="AJ67" s="201"/>
      <c r="AK67" s="201"/>
      <c r="AL67" s="201"/>
      <c r="AM67" s="201"/>
      <c r="AN67" s="203"/>
    </row>
    <row r="68" spans="1:40">
      <c r="A68" s="200" t="s">
        <v>443</v>
      </c>
      <c r="B68" s="204"/>
      <c r="C68" s="204"/>
      <c r="D68" s="204"/>
      <c r="E68" s="525">
        <f>E17</f>
        <v>78.47</v>
      </c>
      <c r="F68" s="525"/>
      <c r="AJ68" s="201"/>
      <c r="AK68" s="202"/>
      <c r="AL68" s="202"/>
      <c r="AM68" s="203"/>
      <c r="AN68" s="203"/>
    </row>
    <row r="69" spans="1:40">
      <c r="A69" s="200" t="s">
        <v>174</v>
      </c>
      <c r="B69" s="532">
        <f>B67*G67+E68</f>
        <v>1276.79</v>
      </c>
      <c r="C69" s="532"/>
      <c r="D69" s="532"/>
      <c r="E69" s="206" t="s">
        <v>85</v>
      </c>
      <c r="AJ69" s="201"/>
      <c r="AK69" s="202"/>
      <c r="AL69" s="202"/>
      <c r="AM69" s="203"/>
      <c r="AN69" s="203"/>
    </row>
    <row r="70" spans="1:40">
      <c r="F70" s="216"/>
      <c r="G70" s="216"/>
      <c r="N70" s="200"/>
      <c r="O70" s="200"/>
      <c r="S70" s="200"/>
      <c r="AJ70" s="201"/>
      <c r="AK70" s="202"/>
      <c r="AL70" s="202"/>
      <c r="AM70" s="203"/>
      <c r="AN70" s="203"/>
    </row>
    <row r="71" spans="1:40" ht="16.5" customHeight="1">
      <c r="A71" s="544" t="s">
        <v>372</v>
      </c>
      <c r="B71" s="544"/>
      <c r="C71" s="544"/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  <c r="Q71" s="544"/>
      <c r="R71" s="544"/>
      <c r="S71" s="544"/>
      <c r="T71" s="544"/>
      <c r="U71" s="544"/>
      <c r="V71" s="544"/>
      <c r="W71" s="544"/>
      <c r="X71" s="544"/>
      <c r="Y71" s="544"/>
      <c r="Z71" s="544"/>
      <c r="AA71" s="544"/>
      <c r="AB71" s="544"/>
      <c r="AC71" s="544"/>
      <c r="AD71" s="544"/>
      <c r="AE71" s="544"/>
      <c r="AF71" s="544"/>
      <c r="AG71" s="544"/>
      <c r="AH71" s="544"/>
      <c r="AI71" s="544"/>
      <c r="AJ71" s="201"/>
      <c r="AK71" s="202"/>
      <c r="AL71" s="202"/>
      <c r="AM71" s="203"/>
      <c r="AN71" s="203"/>
    </row>
    <row r="72" spans="1:40">
      <c r="AJ72" s="201"/>
      <c r="AK72" s="202"/>
      <c r="AL72" s="202"/>
      <c r="AM72" s="203"/>
      <c r="AN72" s="203"/>
    </row>
    <row r="73" spans="1:40">
      <c r="A73" s="530" t="s">
        <v>241</v>
      </c>
      <c r="B73" s="530"/>
      <c r="C73" s="530"/>
      <c r="D73" s="530"/>
      <c r="E73" s="530"/>
      <c r="F73" s="530"/>
      <c r="G73" s="530"/>
      <c r="H73" s="530"/>
      <c r="I73" s="530"/>
      <c r="J73" s="530"/>
      <c r="K73" s="530"/>
      <c r="L73" s="530"/>
      <c r="M73" s="530"/>
      <c r="N73" s="530"/>
      <c r="O73" s="530"/>
      <c r="P73" s="530"/>
      <c r="Q73" s="530"/>
      <c r="R73" s="530"/>
      <c r="S73" s="530"/>
      <c r="T73" s="530"/>
      <c r="U73" s="530"/>
      <c r="V73" s="530"/>
      <c r="W73" s="530"/>
      <c r="X73" s="530"/>
      <c r="Y73" s="530"/>
      <c r="Z73" s="530"/>
      <c r="AA73" s="530"/>
      <c r="AB73" s="530"/>
      <c r="AC73" s="530"/>
      <c r="AD73" s="530"/>
      <c r="AE73" s="530"/>
      <c r="AF73" s="530"/>
      <c r="AG73" s="530"/>
      <c r="AH73" s="530"/>
      <c r="AI73" s="530"/>
      <c r="AJ73" s="201"/>
      <c r="AK73" s="202"/>
      <c r="AL73" s="202"/>
      <c r="AM73" s="203"/>
      <c r="AN73" s="203"/>
    </row>
    <row r="74" spans="1:40">
      <c r="AJ74" s="212" t="s">
        <v>181</v>
      </c>
      <c r="AK74" s="212" t="s">
        <v>182</v>
      </c>
      <c r="AL74" s="212" t="s">
        <v>183</v>
      </c>
      <c r="AM74" s="213" t="s">
        <v>184</v>
      </c>
      <c r="AN74" s="203"/>
    </row>
    <row r="75" spans="1:40">
      <c r="A75" s="200" t="s">
        <v>174</v>
      </c>
      <c r="B75" s="543">
        <f>AJ75</f>
        <v>199.72</v>
      </c>
      <c r="C75" s="543"/>
      <c r="D75" s="200" t="s">
        <v>148</v>
      </c>
      <c r="E75" s="214" t="s">
        <v>175</v>
      </c>
      <c r="F75" s="205"/>
      <c r="G75" s="543">
        <f>AK75</f>
        <v>6</v>
      </c>
      <c r="H75" s="543"/>
      <c r="I75" s="200" t="s">
        <v>148</v>
      </c>
      <c r="J75" s="214"/>
      <c r="K75" s="543"/>
      <c r="L75" s="543"/>
      <c r="N75" s="198"/>
      <c r="O75" s="543"/>
      <c r="P75" s="543"/>
      <c r="AJ75" s="201">
        <v>199.72</v>
      </c>
      <c r="AK75" s="201">
        <v>6</v>
      </c>
      <c r="AL75" s="201">
        <v>1.05</v>
      </c>
      <c r="AM75" s="201">
        <v>1.05</v>
      </c>
      <c r="AN75" s="203"/>
    </row>
    <row r="76" spans="1:40">
      <c r="A76" s="200" t="s">
        <v>443</v>
      </c>
      <c r="B76" s="204"/>
      <c r="C76" s="204"/>
      <c r="D76" s="204"/>
      <c r="E76" s="525">
        <f>E17</f>
        <v>78.47</v>
      </c>
      <c r="F76" s="525"/>
      <c r="AJ76" s="201"/>
      <c r="AK76" s="202"/>
      <c r="AL76" s="202"/>
      <c r="AM76" s="203"/>
      <c r="AN76" s="203"/>
    </row>
    <row r="77" spans="1:40">
      <c r="A77" s="200" t="s">
        <v>174</v>
      </c>
      <c r="B77" s="532">
        <f>AJ75*AK75+E76</f>
        <v>1276.79</v>
      </c>
      <c r="C77" s="532"/>
      <c r="D77" s="532"/>
      <c r="E77" s="206" t="s">
        <v>85</v>
      </c>
      <c r="AJ77" s="201"/>
      <c r="AK77" s="202"/>
      <c r="AL77" s="202"/>
      <c r="AM77" s="203"/>
      <c r="AN77" s="203"/>
    </row>
    <row r="78" spans="1:40">
      <c r="AJ78" s="201"/>
      <c r="AK78" s="202"/>
      <c r="AL78" s="202"/>
      <c r="AM78" s="203"/>
      <c r="AN78" s="203"/>
    </row>
    <row r="79" spans="1:40" ht="30" hidden="1" customHeight="1">
      <c r="A79" s="544" t="s">
        <v>186</v>
      </c>
      <c r="B79" s="544"/>
      <c r="C79" s="544"/>
      <c r="D79" s="544"/>
      <c r="E79" s="544"/>
      <c r="F79" s="544"/>
      <c r="G79" s="544"/>
      <c r="H79" s="544"/>
      <c r="I79" s="544"/>
      <c r="J79" s="544"/>
      <c r="K79" s="544"/>
      <c r="L79" s="544"/>
      <c r="M79" s="544"/>
      <c r="N79" s="544"/>
      <c r="O79" s="544"/>
      <c r="P79" s="544"/>
      <c r="Q79" s="544"/>
      <c r="R79" s="544"/>
      <c r="S79" s="544"/>
      <c r="T79" s="544"/>
      <c r="U79" s="544"/>
      <c r="V79" s="544"/>
      <c r="W79" s="544"/>
      <c r="X79" s="544"/>
      <c r="Y79" s="544"/>
      <c r="Z79" s="544"/>
      <c r="AA79" s="544"/>
      <c r="AB79" s="544"/>
      <c r="AC79" s="544"/>
      <c r="AD79" s="544"/>
      <c r="AE79" s="544"/>
      <c r="AF79" s="544"/>
      <c r="AG79" s="544"/>
      <c r="AH79" s="544"/>
      <c r="AI79" s="544"/>
      <c r="AJ79" s="201"/>
      <c r="AK79" s="202"/>
      <c r="AL79" s="202"/>
      <c r="AM79" s="203"/>
      <c r="AN79" s="203"/>
    </row>
    <row r="80" spans="1:40" hidden="1">
      <c r="AJ80" s="201"/>
      <c r="AK80" s="202"/>
      <c r="AL80" s="202"/>
      <c r="AM80" s="203"/>
      <c r="AN80" s="203"/>
    </row>
    <row r="81" spans="1:40" hidden="1">
      <c r="A81" s="530" t="s">
        <v>242</v>
      </c>
      <c r="B81" s="530"/>
      <c r="C81" s="530"/>
      <c r="D81" s="530"/>
      <c r="E81" s="530"/>
      <c r="F81" s="530"/>
      <c r="G81" s="530"/>
      <c r="H81" s="530"/>
      <c r="I81" s="530"/>
      <c r="J81" s="530"/>
      <c r="K81" s="530"/>
      <c r="L81" s="530"/>
      <c r="M81" s="530"/>
      <c r="N81" s="530"/>
      <c r="O81" s="530"/>
      <c r="P81" s="530"/>
      <c r="Q81" s="530"/>
      <c r="R81" s="530"/>
      <c r="S81" s="530"/>
      <c r="T81" s="530"/>
      <c r="U81" s="530"/>
      <c r="V81" s="530"/>
      <c r="W81" s="530"/>
      <c r="X81" s="530"/>
      <c r="Y81" s="530"/>
      <c r="Z81" s="530"/>
      <c r="AA81" s="530"/>
      <c r="AB81" s="530"/>
      <c r="AC81" s="530"/>
      <c r="AD81" s="530"/>
      <c r="AE81" s="530"/>
      <c r="AF81" s="530"/>
      <c r="AG81" s="530"/>
      <c r="AH81" s="530"/>
      <c r="AI81" s="530"/>
      <c r="AJ81" s="201"/>
      <c r="AK81" s="202"/>
      <c r="AL81" s="202"/>
      <c r="AM81" s="203"/>
      <c r="AN81" s="203"/>
    </row>
    <row r="82" spans="1:40" hidden="1">
      <c r="A82" s="530" t="s">
        <v>243</v>
      </c>
      <c r="B82" s="530"/>
      <c r="C82" s="530"/>
      <c r="D82" s="530"/>
      <c r="E82" s="530"/>
      <c r="F82" s="530"/>
      <c r="G82" s="530"/>
      <c r="H82" s="530"/>
      <c r="I82" s="530"/>
      <c r="J82" s="530"/>
      <c r="K82" s="530"/>
      <c r="L82" s="530"/>
      <c r="M82" s="530"/>
      <c r="N82" s="530"/>
      <c r="O82" s="530"/>
      <c r="P82" s="530"/>
      <c r="Q82" s="530"/>
      <c r="R82" s="530"/>
      <c r="S82" s="530"/>
      <c r="T82" s="530"/>
      <c r="U82" s="530"/>
      <c r="V82" s="530"/>
      <c r="W82" s="530"/>
      <c r="X82" s="530"/>
      <c r="Y82" s="530"/>
      <c r="Z82" s="530"/>
      <c r="AA82" s="530"/>
      <c r="AB82" s="530"/>
      <c r="AC82" s="530"/>
      <c r="AD82" s="530"/>
      <c r="AE82" s="530"/>
      <c r="AF82" s="530"/>
      <c r="AG82" s="530"/>
      <c r="AH82" s="530"/>
      <c r="AI82" s="530"/>
      <c r="AJ82" s="201"/>
      <c r="AK82" s="202"/>
      <c r="AL82" s="202"/>
      <c r="AM82" s="203"/>
      <c r="AN82" s="203"/>
    </row>
    <row r="83" spans="1:40" hidden="1">
      <c r="AJ83" s="561"/>
      <c r="AK83" s="561"/>
      <c r="AL83" s="202"/>
      <c r="AM83" s="548"/>
      <c r="AN83" s="548"/>
    </row>
    <row r="84" spans="1:40" hidden="1">
      <c r="A84" s="526" t="s">
        <v>188</v>
      </c>
      <c r="B84" s="526"/>
      <c r="C84" s="526"/>
      <c r="D84" s="526"/>
      <c r="F84" s="531">
        <v>106.5</v>
      </c>
      <c r="G84" s="531"/>
      <c r="H84" s="200" t="s">
        <v>148</v>
      </c>
      <c r="AJ84" s="201"/>
      <c r="AK84" s="202"/>
      <c r="AL84" s="202"/>
      <c r="AM84" s="203"/>
      <c r="AN84" s="203"/>
    </row>
    <row r="85" spans="1:40" hidden="1">
      <c r="A85" s="526" t="s">
        <v>189</v>
      </c>
      <c r="B85" s="526"/>
      <c r="C85" s="526"/>
      <c r="D85" s="526"/>
      <c r="F85" s="531">
        <v>106.5</v>
      </c>
      <c r="G85" s="531"/>
      <c r="H85" s="200" t="s">
        <v>148</v>
      </c>
      <c r="AJ85" s="201"/>
      <c r="AK85" s="202"/>
      <c r="AL85" s="202"/>
      <c r="AM85" s="203"/>
      <c r="AN85" s="203"/>
    </row>
    <row r="86" spans="1:40" hidden="1">
      <c r="A86" s="215"/>
      <c r="B86" s="215"/>
      <c r="C86" s="215"/>
      <c r="D86" s="215"/>
      <c r="F86" s="216"/>
      <c r="G86" s="216"/>
      <c r="AJ86" s="201"/>
      <c r="AK86" s="202"/>
      <c r="AL86" s="202"/>
      <c r="AM86" s="203"/>
      <c r="AN86" s="203"/>
    </row>
    <row r="87" spans="1:40" hidden="1">
      <c r="A87" s="215"/>
      <c r="B87" s="215"/>
      <c r="C87" s="215"/>
      <c r="D87" s="215"/>
      <c r="F87" s="531"/>
      <c r="G87" s="531"/>
      <c r="AJ87" s="201"/>
      <c r="AK87" s="202"/>
      <c r="AL87" s="202"/>
      <c r="AM87" s="203"/>
      <c r="AN87" s="203"/>
    </row>
    <row r="88" spans="1:40" ht="15">
      <c r="A88" s="542" t="s">
        <v>383</v>
      </c>
      <c r="B88" s="542"/>
      <c r="C88" s="542"/>
      <c r="D88" s="542"/>
      <c r="E88" s="542"/>
      <c r="F88" s="542"/>
      <c r="G88" s="542"/>
      <c r="H88" s="542"/>
      <c r="I88" s="542"/>
      <c r="J88" s="542"/>
      <c r="K88" s="542"/>
      <c r="L88" s="542"/>
      <c r="M88" s="542"/>
      <c r="N88" s="542"/>
      <c r="O88" s="542"/>
      <c r="P88" s="542"/>
      <c r="Q88" s="542"/>
      <c r="R88" s="542"/>
      <c r="S88" s="542"/>
      <c r="T88" s="542"/>
      <c r="U88" s="542"/>
      <c r="V88" s="542"/>
      <c r="W88" s="542"/>
      <c r="X88" s="542"/>
      <c r="Y88" s="542"/>
      <c r="Z88" s="542"/>
      <c r="AA88" s="542"/>
      <c r="AB88" s="542"/>
      <c r="AC88" s="542"/>
      <c r="AD88" s="542"/>
      <c r="AE88" s="542"/>
      <c r="AF88" s="542"/>
      <c r="AG88" s="542"/>
      <c r="AH88" s="542"/>
      <c r="AI88" s="542"/>
      <c r="AJ88" s="201"/>
      <c r="AK88" s="202"/>
      <c r="AL88" s="202"/>
      <c r="AM88" s="203"/>
      <c r="AN88" s="203"/>
    </row>
    <row r="89" spans="1:40">
      <c r="AJ89" s="201"/>
      <c r="AK89" s="202"/>
      <c r="AL89" s="202"/>
      <c r="AM89" s="203"/>
      <c r="AN89" s="203"/>
    </row>
    <row r="90" spans="1:40">
      <c r="A90" s="526" t="s">
        <v>187</v>
      </c>
      <c r="B90" s="526"/>
      <c r="C90" s="526"/>
      <c r="D90" s="526"/>
      <c r="E90" s="526"/>
      <c r="F90" s="526"/>
      <c r="G90" s="526"/>
      <c r="H90" s="526"/>
      <c r="I90" s="526"/>
      <c r="J90" s="526"/>
      <c r="K90" s="526"/>
      <c r="L90" s="526"/>
      <c r="M90" s="526"/>
      <c r="N90" s="526"/>
      <c r="O90" s="526"/>
      <c r="P90" s="526"/>
      <c r="Q90" s="526"/>
      <c r="R90" s="526"/>
      <c r="S90" s="526"/>
      <c r="T90" s="526"/>
      <c r="U90" s="526"/>
      <c r="V90" s="526"/>
      <c r="W90" s="526"/>
      <c r="X90" s="526"/>
      <c r="Y90" s="526"/>
      <c r="Z90" s="526"/>
      <c r="AA90" s="526"/>
      <c r="AB90" s="526"/>
      <c r="AC90" s="526"/>
      <c r="AD90" s="526"/>
      <c r="AE90" s="526"/>
      <c r="AF90" s="526"/>
      <c r="AG90" s="526"/>
      <c r="AH90" s="526"/>
      <c r="AI90" s="526"/>
      <c r="AJ90" s="548"/>
      <c r="AK90" s="548"/>
      <c r="AL90" s="202"/>
      <c r="AM90" s="203"/>
      <c r="AN90" s="203"/>
    </row>
    <row r="91" spans="1:40">
      <c r="AJ91" s="202"/>
      <c r="AK91" s="203"/>
      <c r="AL91" s="202"/>
      <c r="AM91" s="203"/>
      <c r="AN91" s="203"/>
    </row>
    <row r="92" spans="1:40">
      <c r="A92" s="526" t="s">
        <v>188</v>
      </c>
      <c r="B92" s="526"/>
      <c r="C92" s="526"/>
      <c r="D92" s="526"/>
      <c r="F92" s="531">
        <v>52.62</v>
      </c>
      <c r="G92" s="531"/>
      <c r="H92" s="200" t="s">
        <v>148</v>
      </c>
      <c r="AJ92" s="201"/>
      <c r="AK92" s="202"/>
      <c r="AL92" s="202"/>
      <c r="AM92" s="203"/>
      <c r="AN92" s="203"/>
    </row>
    <row r="93" spans="1:40">
      <c r="A93" s="526" t="s">
        <v>189</v>
      </c>
      <c r="B93" s="526"/>
      <c r="C93" s="526"/>
      <c r="D93" s="526"/>
      <c r="F93" s="531">
        <v>45.15</v>
      </c>
      <c r="G93" s="531"/>
      <c r="H93" s="200" t="s">
        <v>148</v>
      </c>
      <c r="AJ93" s="201"/>
      <c r="AK93" s="202"/>
      <c r="AL93" s="202"/>
      <c r="AM93" s="203"/>
      <c r="AN93" s="203"/>
    </row>
    <row r="94" spans="1:40">
      <c r="A94" s="526" t="s">
        <v>190</v>
      </c>
      <c r="B94" s="526"/>
      <c r="C94" s="526"/>
      <c r="D94" s="526"/>
      <c r="F94" s="531">
        <v>46.99</v>
      </c>
      <c r="G94" s="531"/>
      <c r="H94" s="200" t="s">
        <v>148</v>
      </c>
      <c r="AJ94" s="201"/>
      <c r="AK94" s="202"/>
      <c r="AL94" s="202"/>
      <c r="AM94" s="203"/>
      <c r="AN94" s="203"/>
    </row>
    <row r="95" spans="1:40">
      <c r="A95" s="526" t="s">
        <v>379</v>
      </c>
      <c r="B95" s="526"/>
      <c r="C95" s="526"/>
      <c r="D95" s="526"/>
      <c r="F95" s="531">
        <v>43.09</v>
      </c>
      <c r="G95" s="531"/>
      <c r="H95" s="200" t="s">
        <v>148</v>
      </c>
      <c r="AJ95" s="201"/>
      <c r="AK95" s="202"/>
      <c r="AL95" s="202"/>
      <c r="AM95" s="203"/>
      <c r="AN95" s="203"/>
    </row>
    <row r="96" spans="1:40">
      <c r="A96" s="526" t="s">
        <v>384</v>
      </c>
      <c r="B96" s="526"/>
      <c r="C96" s="526"/>
      <c r="D96" s="526"/>
      <c r="F96" s="531">
        <v>52.83</v>
      </c>
      <c r="G96" s="531"/>
      <c r="H96" s="200" t="s">
        <v>148</v>
      </c>
      <c r="AJ96" s="201"/>
      <c r="AK96" s="202"/>
      <c r="AL96" s="202"/>
      <c r="AM96" s="203"/>
      <c r="AN96" s="203"/>
    </row>
    <row r="97" spans="1:40">
      <c r="A97" s="526" t="s">
        <v>385</v>
      </c>
      <c r="B97" s="526"/>
      <c r="C97" s="526"/>
      <c r="D97" s="526"/>
      <c r="F97" s="531">
        <v>45.25</v>
      </c>
      <c r="G97" s="531"/>
      <c r="H97" s="200" t="s">
        <v>148</v>
      </c>
      <c r="AJ97" s="201"/>
      <c r="AK97" s="202"/>
      <c r="AL97" s="202"/>
      <c r="AM97" s="203"/>
      <c r="AN97" s="203"/>
    </row>
    <row r="98" spans="1:40">
      <c r="A98" s="526" t="s">
        <v>386</v>
      </c>
      <c r="B98" s="526"/>
      <c r="C98" s="526"/>
      <c r="D98" s="526"/>
      <c r="F98" s="531">
        <v>45.85</v>
      </c>
      <c r="G98" s="531"/>
      <c r="H98" s="200" t="s">
        <v>148</v>
      </c>
      <c r="AJ98" s="201"/>
      <c r="AK98" s="202"/>
      <c r="AL98" s="202"/>
      <c r="AM98" s="203"/>
      <c r="AN98" s="203"/>
    </row>
    <row r="99" spans="1:40">
      <c r="A99" s="526" t="s">
        <v>387</v>
      </c>
      <c r="B99" s="526"/>
      <c r="C99" s="526"/>
      <c r="D99" s="526"/>
      <c r="F99" s="531">
        <v>44.28</v>
      </c>
      <c r="G99" s="531"/>
      <c r="H99" s="200" t="s">
        <v>148</v>
      </c>
      <c r="AJ99" s="201"/>
      <c r="AK99" s="202"/>
      <c r="AL99" s="202"/>
      <c r="AM99" s="203"/>
      <c r="AN99" s="203"/>
    </row>
    <row r="100" spans="1:40">
      <c r="A100" s="215"/>
      <c r="B100" s="215"/>
      <c r="C100" s="215"/>
      <c r="D100" s="215"/>
      <c r="F100" s="216"/>
      <c r="G100" s="216"/>
      <c r="AJ100" s="201"/>
      <c r="AK100" s="202"/>
      <c r="AL100" s="202"/>
      <c r="AM100" s="203"/>
      <c r="AN100" s="203"/>
    </row>
    <row r="101" spans="1:40">
      <c r="A101" s="200" t="s">
        <v>174</v>
      </c>
      <c r="B101" s="543">
        <f>SUM(F92:G99)</f>
        <v>376.06</v>
      </c>
      <c r="C101" s="543"/>
      <c r="D101" s="543"/>
      <c r="E101" s="200" t="s">
        <v>148</v>
      </c>
      <c r="AJ101" s="201"/>
      <c r="AK101" s="202"/>
      <c r="AL101" s="202"/>
      <c r="AM101" s="203"/>
      <c r="AN101" s="203"/>
    </row>
    <row r="102" spans="1:40">
      <c r="AJ102" s="201"/>
      <c r="AK102" s="202"/>
      <c r="AL102" s="202"/>
      <c r="AM102" s="203"/>
      <c r="AN102" s="203"/>
    </row>
    <row r="103" spans="1:40" ht="15">
      <c r="A103" s="542" t="s">
        <v>422</v>
      </c>
      <c r="B103" s="542"/>
      <c r="C103" s="542"/>
      <c r="D103" s="542"/>
      <c r="E103" s="542"/>
      <c r="F103" s="542"/>
      <c r="G103" s="542"/>
      <c r="H103" s="542"/>
      <c r="I103" s="542"/>
      <c r="J103" s="542"/>
      <c r="K103" s="542"/>
      <c r="L103" s="542"/>
      <c r="M103" s="542"/>
      <c r="N103" s="542"/>
      <c r="O103" s="542"/>
      <c r="P103" s="542"/>
      <c r="Q103" s="542"/>
      <c r="R103" s="542"/>
      <c r="S103" s="542"/>
      <c r="T103" s="542"/>
      <c r="U103" s="542"/>
      <c r="V103" s="542"/>
      <c r="W103" s="542"/>
      <c r="X103" s="542"/>
      <c r="Y103" s="542"/>
      <c r="Z103" s="542"/>
      <c r="AA103" s="542"/>
      <c r="AB103" s="542"/>
      <c r="AC103" s="542"/>
      <c r="AD103" s="542"/>
      <c r="AE103" s="542"/>
      <c r="AF103" s="542"/>
      <c r="AG103" s="542"/>
      <c r="AH103" s="542"/>
      <c r="AI103" s="542"/>
      <c r="AJ103" s="201"/>
      <c r="AK103" s="202"/>
      <c r="AL103" s="202"/>
      <c r="AM103" s="203"/>
      <c r="AN103" s="203"/>
    </row>
    <row r="104" spans="1:40">
      <c r="AJ104" s="201"/>
      <c r="AK104" s="202"/>
      <c r="AL104" s="202"/>
      <c r="AM104" s="203"/>
      <c r="AN104" s="203"/>
    </row>
    <row r="105" spans="1:40">
      <c r="A105" s="526" t="s">
        <v>187</v>
      </c>
      <c r="B105" s="526"/>
      <c r="C105" s="526"/>
      <c r="D105" s="526"/>
      <c r="E105" s="526"/>
      <c r="F105" s="526"/>
      <c r="G105" s="526"/>
      <c r="H105" s="526"/>
      <c r="I105" s="526"/>
      <c r="J105" s="526"/>
      <c r="K105" s="526"/>
      <c r="L105" s="526"/>
      <c r="M105" s="526"/>
      <c r="N105" s="526"/>
      <c r="O105" s="526"/>
      <c r="P105" s="526"/>
      <c r="Q105" s="526"/>
      <c r="R105" s="526"/>
      <c r="S105" s="526"/>
      <c r="T105" s="526"/>
      <c r="U105" s="526"/>
      <c r="V105" s="526"/>
      <c r="W105" s="526"/>
      <c r="X105" s="526"/>
      <c r="Y105" s="526"/>
      <c r="Z105" s="526"/>
      <c r="AA105" s="526"/>
      <c r="AB105" s="526"/>
      <c r="AC105" s="526"/>
      <c r="AD105" s="526"/>
      <c r="AE105" s="526"/>
      <c r="AF105" s="526"/>
      <c r="AG105" s="526"/>
      <c r="AH105" s="526"/>
      <c r="AI105" s="526"/>
      <c r="AJ105" s="548" t="s">
        <v>193</v>
      </c>
      <c r="AK105" s="548"/>
      <c r="AL105" s="202"/>
      <c r="AM105" s="203">
        <f>6.38+6.49</f>
        <v>12.87</v>
      </c>
      <c r="AN105" s="203"/>
    </row>
    <row r="106" spans="1:40">
      <c r="AJ106" s="202">
        <v>5</v>
      </c>
      <c r="AK106" s="203"/>
      <c r="AL106" s="202"/>
      <c r="AM106" s="203">
        <f>20-AM105</f>
        <v>7.13</v>
      </c>
      <c r="AN106" s="203"/>
    </row>
    <row r="107" spans="1:40">
      <c r="A107" s="200" t="s">
        <v>388</v>
      </c>
      <c r="B107" s="543">
        <f>AK75</f>
        <v>6</v>
      </c>
      <c r="C107" s="543"/>
      <c r="D107" s="543"/>
      <c r="E107" s="200" t="s">
        <v>148</v>
      </c>
      <c r="F107" s="214" t="s">
        <v>175</v>
      </c>
      <c r="G107" s="543">
        <f>AJ106</f>
        <v>5</v>
      </c>
      <c r="H107" s="543"/>
      <c r="I107" s="200" t="s">
        <v>194</v>
      </c>
      <c r="J107" s="214"/>
      <c r="K107" s="205"/>
      <c r="L107" s="543"/>
      <c r="M107" s="543"/>
      <c r="P107" s="543"/>
      <c r="Q107" s="543"/>
      <c r="S107" s="525"/>
      <c r="T107" s="525"/>
      <c r="AJ107" s="201"/>
      <c r="AK107" s="202"/>
      <c r="AL107" s="202"/>
      <c r="AM107" s="203"/>
      <c r="AN107" s="203"/>
    </row>
    <row r="108" spans="1:40">
      <c r="A108" s="215"/>
      <c r="B108" s="215"/>
      <c r="C108" s="215"/>
      <c r="D108" s="215"/>
      <c r="F108" s="216"/>
      <c r="G108" s="216"/>
      <c r="AJ108" s="201"/>
      <c r="AK108" s="202"/>
      <c r="AL108" s="202"/>
      <c r="AM108" s="203"/>
      <c r="AN108" s="203"/>
    </row>
    <row r="109" spans="1:40">
      <c r="A109" s="200" t="s">
        <v>174</v>
      </c>
      <c r="B109" s="543">
        <f>B107*G107</f>
        <v>30</v>
      </c>
      <c r="C109" s="543"/>
      <c r="D109" s="543"/>
      <c r="E109" s="200" t="s">
        <v>148</v>
      </c>
      <c r="AJ109" s="201"/>
      <c r="AK109" s="202"/>
      <c r="AL109" s="202"/>
      <c r="AM109" s="203"/>
      <c r="AN109" s="203"/>
    </row>
    <row r="110" spans="1:40">
      <c r="AJ110" s="201"/>
      <c r="AK110" s="202"/>
      <c r="AL110" s="202"/>
      <c r="AM110" s="203"/>
      <c r="AN110" s="203"/>
    </row>
    <row r="111" spans="1:40" ht="30" customHeight="1">
      <c r="A111" s="544" t="s">
        <v>423</v>
      </c>
      <c r="B111" s="544"/>
      <c r="C111" s="544"/>
      <c r="D111" s="544"/>
      <c r="E111" s="544"/>
      <c r="F111" s="544"/>
      <c r="G111" s="544"/>
      <c r="H111" s="544"/>
      <c r="I111" s="544"/>
      <c r="J111" s="544"/>
      <c r="K111" s="544"/>
      <c r="L111" s="544"/>
      <c r="M111" s="544"/>
      <c r="N111" s="544"/>
      <c r="O111" s="544"/>
      <c r="P111" s="544"/>
      <c r="Q111" s="544"/>
      <c r="R111" s="544"/>
      <c r="S111" s="544"/>
      <c r="T111" s="544"/>
      <c r="U111" s="544"/>
      <c r="V111" s="544"/>
      <c r="W111" s="544"/>
      <c r="X111" s="544"/>
      <c r="Y111" s="544"/>
      <c r="Z111" s="544"/>
      <c r="AA111" s="544"/>
      <c r="AB111" s="544"/>
      <c r="AC111" s="544"/>
      <c r="AD111" s="544"/>
      <c r="AE111" s="544"/>
      <c r="AF111" s="544"/>
      <c r="AG111" s="544"/>
      <c r="AH111" s="544"/>
      <c r="AI111" s="544"/>
      <c r="AJ111" s="201"/>
      <c r="AK111" s="202"/>
      <c r="AL111" s="202"/>
      <c r="AM111" s="203"/>
      <c r="AN111" s="203"/>
    </row>
    <row r="112" spans="1:40">
      <c r="AJ112" s="201"/>
      <c r="AK112" s="202"/>
      <c r="AL112" s="202"/>
      <c r="AM112" s="203"/>
      <c r="AN112" s="203"/>
    </row>
    <row r="113" spans="1:40">
      <c r="A113" s="530" t="s">
        <v>244</v>
      </c>
      <c r="B113" s="530"/>
      <c r="C113" s="530"/>
      <c r="D113" s="530"/>
      <c r="E113" s="530"/>
      <c r="F113" s="530"/>
      <c r="G113" s="530"/>
      <c r="H113" s="530"/>
      <c r="I113" s="530"/>
      <c r="J113" s="530"/>
      <c r="K113" s="530"/>
      <c r="L113" s="530"/>
      <c r="M113" s="530"/>
      <c r="N113" s="530"/>
      <c r="O113" s="530"/>
      <c r="P113" s="530"/>
      <c r="Q113" s="530"/>
      <c r="R113" s="530"/>
      <c r="S113" s="530"/>
      <c r="T113" s="530"/>
      <c r="U113" s="530"/>
      <c r="V113" s="530"/>
      <c r="W113" s="530"/>
      <c r="X113" s="530"/>
      <c r="Y113" s="530"/>
      <c r="Z113" s="530"/>
      <c r="AA113" s="530"/>
      <c r="AB113" s="530"/>
      <c r="AC113" s="530"/>
      <c r="AD113" s="530"/>
      <c r="AE113" s="530"/>
      <c r="AF113" s="530"/>
      <c r="AG113" s="530"/>
      <c r="AH113" s="530"/>
      <c r="AI113" s="530"/>
      <c r="AJ113" s="201"/>
      <c r="AK113" s="202"/>
      <c r="AL113" s="202"/>
      <c r="AM113" s="203"/>
      <c r="AN113" s="203"/>
    </row>
    <row r="114" spans="1:40">
      <c r="A114" s="530" t="s">
        <v>245</v>
      </c>
      <c r="B114" s="530"/>
      <c r="C114" s="530"/>
      <c r="D114" s="530"/>
      <c r="E114" s="530"/>
      <c r="F114" s="530"/>
      <c r="G114" s="530"/>
      <c r="H114" s="530"/>
      <c r="I114" s="530"/>
      <c r="J114" s="530"/>
      <c r="K114" s="530"/>
      <c r="L114" s="530"/>
      <c r="M114" s="530"/>
      <c r="N114" s="530"/>
      <c r="O114" s="530"/>
      <c r="P114" s="530"/>
      <c r="Q114" s="530"/>
      <c r="R114" s="530"/>
      <c r="S114" s="530"/>
      <c r="T114" s="530"/>
      <c r="U114" s="530"/>
      <c r="V114" s="530"/>
      <c r="W114" s="530"/>
      <c r="X114" s="530"/>
      <c r="Y114" s="530"/>
      <c r="Z114" s="530"/>
      <c r="AA114" s="530"/>
      <c r="AB114" s="530"/>
      <c r="AC114" s="530"/>
      <c r="AD114" s="530"/>
      <c r="AE114" s="530"/>
      <c r="AF114" s="530"/>
      <c r="AG114" s="530"/>
      <c r="AH114" s="530"/>
      <c r="AI114" s="530"/>
      <c r="AJ114" s="201"/>
      <c r="AK114" s="202"/>
      <c r="AL114" s="202"/>
      <c r="AM114" s="203"/>
      <c r="AN114" s="203"/>
    </row>
    <row r="115" spans="1:40">
      <c r="AJ115" s="201"/>
      <c r="AK115" s="202"/>
      <c r="AL115" s="202"/>
      <c r="AM115" s="203"/>
      <c r="AN115" s="203"/>
    </row>
    <row r="116" spans="1:40" ht="30" customHeight="1">
      <c r="A116" s="538" t="s">
        <v>195</v>
      </c>
      <c r="B116" s="538"/>
      <c r="C116" s="538"/>
      <c r="D116" s="538"/>
      <c r="E116" s="538"/>
      <c r="F116" s="538"/>
      <c r="G116" s="538"/>
      <c r="H116" s="538"/>
      <c r="I116" s="538"/>
      <c r="J116" s="538"/>
      <c r="K116" s="538"/>
      <c r="L116" s="538"/>
      <c r="M116" s="538"/>
      <c r="N116" s="538"/>
      <c r="O116" s="538"/>
      <c r="P116" s="538"/>
      <c r="Q116" s="538"/>
      <c r="R116" s="538"/>
      <c r="S116" s="538"/>
      <c r="T116" s="538"/>
      <c r="U116" s="538"/>
      <c r="V116" s="538"/>
      <c r="W116" s="538"/>
      <c r="X116" s="538"/>
      <c r="Y116" s="538"/>
      <c r="Z116" s="538"/>
      <c r="AA116" s="538"/>
      <c r="AB116" s="538"/>
      <c r="AC116" s="538"/>
      <c r="AD116" s="538"/>
      <c r="AE116" s="538"/>
      <c r="AF116" s="538"/>
      <c r="AG116" s="538"/>
      <c r="AH116" s="538"/>
      <c r="AI116" s="538"/>
      <c r="AJ116" s="201"/>
      <c r="AK116" s="202"/>
      <c r="AL116" s="202"/>
      <c r="AM116" s="203"/>
      <c r="AN116" s="203"/>
    </row>
    <row r="117" spans="1:40">
      <c r="AJ117" s="201"/>
      <c r="AK117" s="202"/>
      <c r="AL117" s="202"/>
      <c r="AM117" s="203"/>
      <c r="AN117" s="203"/>
    </row>
    <row r="118" spans="1:40">
      <c r="A118" s="526" t="s">
        <v>188</v>
      </c>
      <c r="B118" s="526"/>
      <c r="C118" s="526"/>
      <c r="D118" s="526"/>
      <c r="F118" s="531">
        <f>F92</f>
        <v>52.62</v>
      </c>
      <c r="G118" s="531"/>
      <c r="H118" s="526" t="s">
        <v>196</v>
      </c>
      <c r="I118" s="526"/>
      <c r="J118" s="531">
        <v>1</v>
      </c>
      <c r="K118" s="531"/>
      <c r="L118" s="526" t="s">
        <v>197</v>
      </c>
      <c r="M118" s="526"/>
      <c r="N118" s="532">
        <f>F118*J118</f>
        <v>52.62</v>
      </c>
      <c r="O118" s="532"/>
      <c r="P118" s="200" t="s">
        <v>148</v>
      </c>
      <c r="AJ118" s="201"/>
      <c r="AK118" s="202"/>
      <c r="AL118" s="202"/>
      <c r="AM118" s="203"/>
      <c r="AN118" s="203"/>
    </row>
    <row r="119" spans="1:40">
      <c r="A119" s="526" t="s">
        <v>189</v>
      </c>
      <c r="B119" s="526"/>
      <c r="C119" s="526"/>
      <c r="D119" s="526"/>
      <c r="F119" s="531">
        <f t="shared" ref="F119:F125" si="0">F93</f>
        <v>45.15</v>
      </c>
      <c r="G119" s="531"/>
      <c r="H119" s="526" t="s">
        <v>196</v>
      </c>
      <c r="I119" s="526"/>
      <c r="J119" s="531">
        <v>1</v>
      </c>
      <c r="K119" s="531"/>
      <c r="L119" s="526" t="s">
        <v>197</v>
      </c>
      <c r="M119" s="526"/>
      <c r="N119" s="532">
        <f>F119*J119</f>
        <v>45.15</v>
      </c>
      <c r="O119" s="532"/>
      <c r="P119" s="200" t="s">
        <v>148</v>
      </c>
      <c r="AJ119" s="201"/>
      <c r="AK119" s="202"/>
      <c r="AL119" s="202"/>
      <c r="AM119" s="203"/>
      <c r="AN119" s="203"/>
    </row>
    <row r="120" spans="1:40">
      <c r="A120" s="526" t="s">
        <v>190</v>
      </c>
      <c r="B120" s="526"/>
      <c r="C120" s="526"/>
      <c r="D120" s="526"/>
      <c r="F120" s="531">
        <f t="shared" si="0"/>
        <v>46.99</v>
      </c>
      <c r="G120" s="531"/>
      <c r="H120" s="526" t="s">
        <v>196</v>
      </c>
      <c r="I120" s="526"/>
      <c r="J120" s="531">
        <v>1</v>
      </c>
      <c r="K120" s="531"/>
      <c r="L120" s="526" t="s">
        <v>197</v>
      </c>
      <c r="M120" s="526"/>
      <c r="N120" s="532">
        <f t="shared" ref="N120:N125" si="1">F120*J120</f>
        <v>46.99</v>
      </c>
      <c r="O120" s="532"/>
      <c r="P120" s="200" t="s">
        <v>148</v>
      </c>
      <c r="AJ120" s="201"/>
      <c r="AK120" s="202"/>
      <c r="AL120" s="202"/>
      <c r="AM120" s="203"/>
      <c r="AN120" s="203"/>
    </row>
    <row r="121" spans="1:40">
      <c r="A121" s="526" t="s">
        <v>379</v>
      </c>
      <c r="B121" s="526"/>
      <c r="C121" s="526"/>
      <c r="D121" s="526"/>
      <c r="F121" s="531">
        <f t="shared" si="0"/>
        <v>43.09</v>
      </c>
      <c r="G121" s="531"/>
      <c r="H121" s="526" t="s">
        <v>196</v>
      </c>
      <c r="I121" s="526"/>
      <c r="J121" s="531">
        <v>1</v>
      </c>
      <c r="K121" s="531"/>
      <c r="L121" s="526" t="s">
        <v>197</v>
      </c>
      <c r="M121" s="526"/>
      <c r="N121" s="532">
        <f t="shared" si="1"/>
        <v>43.09</v>
      </c>
      <c r="O121" s="532"/>
      <c r="P121" s="200" t="s">
        <v>148</v>
      </c>
      <c r="AJ121" s="201"/>
      <c r="AK121" s="202"/>
      <c r="AL121" s="202"/>
      <c r="AM121" s="203"/>
      <c r="AN121" s="203"/>
    </row>
    <row r="122" spans="1:40">
      <c r="A122" s="526" t="s">
        <v>384</v>
      </c>
      <c r="B122" s="526"/>
      <c r="C122" s="526"/>
      <c r="D122" s="526"/>
      <c r="F122" s="531">
        <f t="shared" si="0"/>
        <v>52.83</v>
      </c>
      <c r="G122" s="531"/>
      <c r="H122" s="526" t="s">
        <v>196</v>
      </c>
      <c r="I122" s="526"/>
      <c r="J122" s="531">
        <v>1</v>
      </c>
      <c r="K122" s="531"/>
      <c r="L122" s="526" t="s">
        <v>197</v>
      </c>
      <c r="M122" s="526"/>
      <c r="N122" s="532">
        <f t="shared" si="1"/>
        <v>52.83</v>
      </c>
      <c r="O122" s="532"/>
      <c r="P122" s="200" t="s">
        <v>148</v>
      </c>
      <c r="AJ122" s="201"/>
      <c r="AK122" s="202"/>
      <c r="AL122" s="202"/>
      <c r="AM122" s="203"/>
      <c r="AN122" s="203"/>
    </row>
    <row r="123" spans="1:40">
      <c r="A123" s="526" t="s">
        <v>385</v>
      </c>
      <c r="B123" s="526"/>
      <c r="C123" s="526"/>
      <c r="D123" s="526"/>
      <c r="F123" s="531">
        <f t="shared" si="0"/>
        <v>45.25</v>
      </c>
      <c r="G123" s="531"/>
      <c r="H123" s="526" t="s">
        <v>196</v>
      </c>
      <c r="I123" s="526"/>
      <c r="J123" s="531">
        <v>1</v>
      </c>
      <c r="K123" s="531"/>
      <c r="L123" s="526" t="s">
        <v>197</v>
      </c>
      <c r="M123" s="526"/>
      <c r="N123" s="532">
        <f t="shared" si="1"/>
        <v>45.25</v>
      </c>
      <c r="O123" s="532"/>
      <c r="P123" s="200" t="s">
        <v>148</v>
      </c>
      <c r="AJ123" s="201"/>
      <c r="AK123" s="202"/>
      <c r="AL123" s="202"/>
      <c r="AM123" s="203"/>
      <c r="AN123" s="203"/>
    </row>
    <row r="124" spans="1:40">
      <c r="A124" s="526" t="s">
        <v>386</v>
      </c>
      <c r="B124" s="526"/>
      <c r="C124" s="526"/>
      <c r="D124" s="526"/>
      <c r="F124" s="531">
        <f t="shared" si="0"/>
        <v>45.85</v>
      </c>
      <c r="G124" s="531"/>
      <c r="H124" s="526" t="s">
        <v>196</v>
      </c>
      <c r="I124" s="526"/>
      <c r="J124" s="531">
        <v>1</v>
      </c>
      <c r="K124" s="531"/>
      <c r="L124" s="526" t="s">
        <v>197</v>
      </c>
      <c r="M124" s="526"/>
      <c r="N124" s="532">
        <f t="shared" si="1"/>
        <v>45.85</v>
      </c>
      <c r="O124" s="532"/>
      <c r="P124" s="200" t="s">
        <v>148</v>
      </c>
      <c r="AJ124" s="201"/>
      <c r="AK124" s="202"/>
      <c r="AL124" s="202"/>
      <c r="AM124" s="203"/>
      <c r="AN124" s="203"/>
    </row>
    <row r="125" spans="1:40">
      <c r="A125" s="526" t="s">
        <v>387</v>
      </c>
      <c r="B125" s="526"/>
      <c r="C125" s="526"/>
      <c r="D125" s="526"/>
      <c r="F125" s="531">
        <f t="shared" si="0"/>
        <v>44.28</v>
      </c>
      <c r="G125" s="531"/>
      <c r="H125" s="526" t="s">
        <v>196</v>
      </c>
      <c r="I125" s="526"/>
      <c r="J125" s="531">
        <v>1</v>
      </c>
      <c r="K125" s="531"/>
      <c r="L125" s="526" t="s">
        <v>197</v>
      </c>
      <c r="M125" s="526"/>
      <c r="N125" s="532">
        <f t="shared" si="1"/>
        <v>44.28</v>
      </c>
      <c r="O125" s="532"/>
      <c r="P125" s="200" t="s">
        <v>148</v>
      </c>
      <c r="AJ125" s="201"/>
      <c r="AK125" s="202"/>
      <c r="AL125" s="202"/>
      <c r="AM125" s="203"/>
      <c r="AN125" s="203"/>
    </row>
    <row r="126" spans="1:40">
      <c r="A126" s="200" t="s">
        <v>185</v>
      </c>
      <c r="C126" s="531">
        <f>SUM(N118:O125)</f>
        <v>376.06</v>
      </c>
      <c r="D126" s="533"/>
      <c r="E126" s="526" t="s">
        <v>196</v>
      </c>
      <c r="F126" s="526"/>
      <c r="G126" s="532">
        <f>AL75</f>
        <v>1.05</v>
      </c>
      <c r="H126" s="533"/>
      <c r="I126" s="526" t="s">
        <v>198</v>
      </c>
      <c r="J126" s="526"/>
      <c r="K126" s="525">
        <f>C126*G126</f>
        <v>394.86</v>
      </c>
      <c r="L126" s="525"/>
      <c r="M126" s="200" t="s">
        <v>85</v>
      </c>
      <c r="N126" s="204"/>
      <c r="O126" s="204"/>
      <c r="AJ126" s="201"/>
      <c r="AK126" s="202"/>
      <c r="AL126" s="202"/>
      <c r="AM126" s="203"/>
      <c r="AN126" s="203"/>
    </row>
    <row r="127" spans="1:40">
      <c r="F127" s="216"/>
      <c r="G127" s="216"/>
      <c r="H127" s="215"/>
      <c r="I127" s="215"/>
      <c r="J127" s="216"/>
      <c r="K127" s="216"/>
      <c r="L127" s="215"/>
      <c r="M127" s="215"/>
      <c r="N127" s="204"/>
      <c r="O127" s="204"/>
      <c r="AJ127" s="201"/>
      <c r="AK127" s="202"/>
      <c r="AL127" s="202"/>
      <c r="AM127" s="203"/>
      <c r="AN127" s="203"/>
    </row>
    <row r="128" spans="1:40">
      <c r="A128" s="200" t="s">
        <v>199</v>
      </c>
      <c r="E128" s="205"/>
      <c r="F128" s="205"/>
      <c r="H128" s="216"/>
      <c r="I128" s="216"/>
      <c r="J128" s="215"/>
      <c r="K128" s="215"/>
      <c r="L128" s="216"/>
      <c r="M128" s="216"/>
      <c r="AJ128" s="201"/>
      <c r="AK128" s="202"/>
      <c r="AL128" s="202"/>
      <c r="AM128" s="203"/>
      <c r="AN128" s="203"/>
    </row>
    <row r="129" spans="1:40">
      <c r="A129" s="526" t="s">
        <v>200</v>
      </c>
      <c r="B129" s="526"/>
      <c r="C129" s="526"/>
      <c r="D129" s="526"/>
      <c r="F129" s="531">
        <f>C161</f>
        <v>80.27</v>
      </c>
      <c r="G129" s="531"/>
      <c r="H129" s="526" t="s">
        <v>85</v>
      </c>
      <c r="I129" s="526"/>
      <c r="J129" s="531"/>
      <c r="K129" s="531"/>
      <c r="L129" s="526"/>
      <c r="M129" s="526"/>
      <c r="N129" s="532"/>
      <c r="O129" s="532"/>
      <c r="AJ129" s="201"/>
      <c r="AK129" s="202"/>
      <c r="AL129" s="202"/>
      <c r="AM129" s="203"/>
      <c r="AN129" s="203"/>
    </row>
    <row r="130" spans="1:40">
      <c r="A130" s="200" t="s">
        <v>201</v>
      </c>
      <c r="F130" s="531">
        <v>8.5</v>
      </c>
      <c r="G130" s="531"/>
      <c r="H130" s="526" t="s">
        <v>196</v>
      </c>
      <c r="I130" s="526"/>
      <c r="J130" s="531">
        <f>B137</f>
        <v>8</v>
      </c>
      <c r="K130" s="531"/>
      <c r="L130" s="526" t="s">
        <v>202</v>
      </c>
      <c r="M130" s="526"/>
      <c r="N130" s="532">
        <v>1.05</v>
      </c>
      <c r="O130" s="532"/>
      <c r="P130" s="200" t="s">
        <v>203</v>
      </c>
      <c r="Q130" s="527">
        <f>F130*J130*N130</f>
        <v>71.400000000000006</v>
      </c>
      <c r="R130" s="527"/>
      <c r="S130" s="199" t="s">
        <v>85</v>
      </c>
      <c r="AJ130" s="201"/>
      <c r="AK130" s="202"/>
      <c r="AL130" s="202"/>
      <c r="AM130" s="203"/>
      <c r="AN130" s="203"/>
    </row>
    <row r="131" spans="1:40">
      <c r="A131" s="200" t="s">
        <v>204</v>
      </c>
      <c r="F131" s="531">
        <f>K126</f>
        <v>394.86</v>
      </c>
      <c r="G131" s="533"/>
      <c r="H131" s="526" t="s">
        <v>205</v>
      </c>
      <c r="I131" s="526"/>
      <c r="J131" s="531">
        <f>SUM(F129,Q130)</f>
        <v>151.66999999999999</v>
      </c>
      <c r="K131" s="533"/>
      <c r="L131" s="526" t="s">
        <v>206</v>
      </c>
      <c r="M131" s="526"/>
      <c r="N131" s="525">
        <f>F131-J131</f>
        <v>243.19</v>
      </c>
      <c r="O131" s="525"/>
      <c r="P131" s="200" t="s">
        <v>85</v>
      </c>
      <c r="AJ131" s="201"/>
      <c r="AK131" s="202"/>
      <c r="AL131" s="202"/>
      <c r="AM131" s="203"/>
      <c r="AN131" s="203"/>
    </row>
    <row r="132" spans="1:40">
      <c r="AJ132" s="201"/>
      <c r="AK132" s="202"/>
      <c r="AL132" s="202"/>
      <c r="AM132" s="203"/>
      <c r="AN132" s="203"/>
    </row>
    <row r="133" spans="1:40" ht="30" customHeight="1">
      <c r="A133" s="544" t="s">
        <v>429</v>
      </c>
      <c r="B133" s="544"/>
      <c r="C133" s="544"/>
      <c r="D133" s="544"/>
      <c r="E133" s="544"/>
      <c r="F133" s="544"/>
      <c r="G133" s="544"/>
      <c r="H133" s="544"/>
      <c r="I133" s="544"/>
      <c r="J133" s="544"/>
      <c r="K133" s="544"/>
      <c r="L133" s="544"/>
      <c r="M133" s="544"/>
      <c r="N133" s="544"/>
      <c r="O133" s="544"/>
      <c r="P133" s="544"/>
      <c r="Q133" s="544"/>
      <c r="R133" s="544"/>
      <c r="S133" s="544"/>
      <c r="T133" s="544"/>
      <c r="U133" s="544"/>
      <c r="V133" s="544"/>
      <c r="W133" s="544"/>
      <c r="X133" s="544"/>
      <c r="Y133" s="544"/>
      <c r="Z133" s="544"/>
      <c r="AA133" s="544"/>
      <c r="AB133" s="544"/>
      <c r="AC133" s="544"/>
      <c r="AD133" s="544"/>
      <c r="AE133" s="544"/>
      <c r="AF133" s="544"/>
      <c r="AG133" s="544"/>
      <c r="AH133" s="544"/>
      <c r="AI133" s="544"/>
      <c r="AJ133" s="201"/>
      <c r="AK133" s="202"/>
      <c r="AL133" s="202"/>
      <c r="AM133" s="203"/>
      <c r="AN133" s="203"/>
    </row>
    <row r="134" spans="1:40">
      <c r="AJ134" s="201"/>
      <c r="AK134" s="202"/>
      <c r="AL134" s="202"/>
      <c r="AM134" s="203"/>
      <c r="AN134" s="203"/>
    </row>
    <row r="135" spans="1:40">
      <c r="A135" s="530" t="s">
        <v>207</v>
      </c>
      <c r="B135" s="530"/>
      <c r="C135" s="530"/>
      <c r="D135" s="530"/>
      <c r="E135" s="530"/>
      <c r="F135" s="530"/>
      <c r="G135" s="530"/>
      <c r="H135" s="530"/>
      <c r="I135" s="530"/>
      <c r="J135" s="530"/>
      <c r="K135" s="530"/>
      <c r="L135" s="530"/>
      <c r="M135" s="530"/>
      <c r="N135" s="530"/>
      <c r="O135" s="530"/>
      <c r="P135" s="530"/>
      <c r="Q135" s="530"/>
      <c r="R135" s="530"/>
      <c r="S135" s="530"/>
      <c r="T135" s="530"/>
      <c r="U135" s="530"/>
      <c r="V135" s="530"/>
      <c r="W135" s="530"/>
      <c r="X135" s="530"/>
      <c r="Y135" s="530"/>
      <c r="Z135" s="530"/>
      <c r="AA135" s="530"/>
      <c r="AB135" s="530"/>
      <c r="AC135" s="530"/>
      <c r="AD135" s="530"/>
      <c r="AE135" s="530"/>
      <c r="AF135" s="530"/>
      <c r="AG135" s="530"/>
      <c r="AH135" s="530"/>
      <c r="AI135" s="530"/>
      <c r="AJ135" s="201"/>
      <c r="AK135" s="202"/>
      <c r="AL135" s="202"/>
      <c r="AM135" s="203"/>
      <c r="AN135" s="203"/>
    </row>
    <row r="136" spans="1:40">
      <c r="AJ136" s="201" t="s">
        <v>234</v>
      </c>
      <c r="AK136" s="202"/>
      <c r="AL136" s="202"/>
      <c r="AM136" s="203"/>
      <c r="AN136" s="203"/>
    </row>
    <row r="137" spans="1:40">
      <c r="A137" s="200" t="s">
        <v>179</v>
      </c>
      <c r="B137" s="543">
        <v>8</v>
      </c>
      <c r="C137" s="543"/>
      <c r="D137" s="530" t="s">
        <v>102</v>
      </c>
      <c r="E137" s="530"/>
      <c r="AJ137" s="201">
        <v>4</v>
      </c>
      <c r="AK137" s="202"/>
      <c r="AL137" s="202"/>
      <c r="AM137" s="203"/>
      <c r="AN137" s="203"/>
    </row>
    <row r="138" spans="1:40">
      <c r="AJ138" s="201"/>
      <c r="AK138" s="202"/>
      <c r="AL138" s="202"/>
      <c r="AM138" s="203"/>
      <c r="AN138" s="203"/>
    </row>
    <row r="139" spans="1:40" ht="31.5" customHeight="1">
      <c r="A139" s="544" t="s">
        <v>425</v>
      </c>
      <c r="B139" s="544"/>
      <c r="C139" s="544"/>
      <c r="D139" s="544"/>
      <c r="E139" s="544"/>
      <c r="F139" s="544"/>
      <c r="G139" s="544"/>
      <c r="H139" s="544"/>
      <c r="I139" s="544"/>
      <c r="J139" s="544"/>
      <c r="K139" s="544"/>
      <c r="L139" s="544"/>
      <c r="M139" s="544"/>
      <c r="N139" s="544"/>
      <c r="O139" s="544"/>
      <c r="P139" s="544"/>
      <c r="Q139" s="544"/>
      <c r="R139" s="544"/>
      <c r="S139" s="544"/>
      <c r="T139" s="544"/>
      <c r="U139" s="544"/>
      <c r="V139" s="544"/>
      <c r="W139" s="544"/>
      <c r="X139" s="544"/>
      <c r="Y139" s="544"/>
      <c r="Z139" s="544"/>
      <c r="AA139" s="544"/>
      <c r="AB139" s="544"/>
      <c r="AC139" s="544"/>
      <c r="AD139" s="544"/>
      <c r="AE139" s="544"/>
      <c r="AF139" s="544"/>
      <c r="AG139" s="544"/>
      <c r="AH139" s="544"/>
      <c r="AI139" s="544"/>
      <c r="AJ139" s="201"/>
      <c r="AK139" s="202"/>
      <c r="AL139" s="202"/>
      <c r="AM139" s="203"/>
      <c r="AN139" s="218"/>
    </row>
    <row r="140" spans="1:40">
      <c r="AJ140" s="201"/>
      <c r="AK140" s="202"/>
      <c r="AL140" s="202"/>
      <c r="AM140" s="203"/>
      <c r="AN140" s="203"/>
    </row>
    <row r="141" spans="1:40">
      <c r="A141" s="200" t="s">
        <v>208</v>
      </c>
      <c r="AJ141" s="201"/>
      <c r="AK141" s="202"/>
      <c r="AL141" s="202"/>
      <c r="AM141" s="203"/>
      <c r="AN141" s="203"/>
    </row>
    <row r="142" spans="1:40">
      <c r="AJ142" s="201"/>
      <c r="AK142" s="202"/>
      <c r="AL142" s="202"/>
      <c r="AM142" s="203"/>
      <c r="AN142" s="203"/>
    </row>
    <row r="143" spans="1:40">
      <c r="A143" s="526" t="s">
        <v>188</v>
      </c>
      <c r="B143" s="526"/>
      <c r="C143" s="526"/>
      <c r="D143" s="526"/>
      <c r="F143" s="531">
        <f t="shared" ref="F143:F150" si="2">F118</f>
        <v>52.62</v>
      </c>
      <c r="G143" s="531"/>
      <c r="H143" s="526" t="s">
        <v>196</v>
      </c>
      <c r="I143" s="526"/>
      <c r="J143" s="531">
        <v>1</v>
      </c>
      <c r="K143" s="531"/>
      <c r="L143" s="526" t="s">
        <v>197</v>
      </c>
      <c r="M143" s="526"/>
      <c r="N143" s="532">
        <f>F143*J143</f>
        <v>52.62</v>
      </c>
      <c r="O143" s="532"/>
      <c r="P143" s="200" t="s">
        <v>148</v>
      </c>
      <c r="AJ143" s="201"/>
      <c r="AK143" s="202"/>
      <c r="AL143" s="202"/>
      <c r="AM143" s="203"/>
      <c r="AN143" s="203"/>
    </row>
    <row r="144" spans="1:40">
      <c r="A144" s="526" t="s">
        <v>189</v>
      </c>
      <c r="B144" s="526"/>
      <c r="C144" s="526"/>
      <c r="D144" s="526"/>
      <c r="F144" s="531">
        <f t="shared" si="2"/>
        <v>45.15</v>
      </c>
      <c r="G144" s="531"/>
      <c r="H144" s="526" t="s">
        <v>196</v>
      </c>
      <c r="I144" s="526"/>
      <c r="J144" s="531">
        <v>1</v>
      </c>
      <c r="K144" s="531"/>
      <c r="L144" s="526" t="s">
        <v>197</v>
      </c>
      <c r="M144" s="526"/>
      <c r="N144" s="532">
        <f>F144*J144</f>
        <v>45.15</v>
      </c>
      <c r="O144" s="532"/>
      <c r="P144" s="200" t="s">
        <v>148</v>
      </c>
      <c r="AJ144" s="201"/>
      <c r="AK144" s="202"/>
      <c r="AL144" s="202"/>
      <c r="AM144" s="203"/>
      <c r="AN144" s="203"/>
    </row>
    <row r="145" spans="1:40">
      <c r="A145" s="526" t="s">
        <v>190</v>
      </c>
      <c r="B145" s="526"/>
      <c r="C145" s="526"/>
      <c r="D145" s="526"/>
      <c r="F145" s="531">
        <f t="shared" si="2"/>
        <v>46.99</v>
      </c>
      <c r="G145" s="531"/>
      <c r="H145" s="526" t="s">
        <v>196</v>
      </c>
      <c r="I145" s="526"/>
      <c r="J145" s="531">
        <v>1</v>
      </c>
      <c r="K145" s="531"/>
      <c r="L145" s="526" t="s">
        <v>197</v>
      </c>
      <c r="M145" s="526"/>
      <c r="N145" s="532">
        <f t="shared" ref="N145:N150" si="3">F145*J145</f>
        <v>46.99</v>
      </c>
      <c r="O145" s="532"/>
      <c r="P145" s="200" t="s">
        <v>148</v>
      </c>
      <c r="AJ145" s="201"/>
      <c r="AK145" s="202"/>
      <c r="AL145" s="202"/>
      <c r="AM145" s="203"/>
      <c r="AN145" s="203"/>
    </row>
    <row r="146" spans="1:40">
      <c r="A146" s="526" t="s">
        <v>379</v>
      </c>
      <c r="B146" s="526"/>
      <c r="C146" s="526"/>
      <c r="D146" s="526"/>
      <c r="F146" s="531">
        <f t="shared" si="2"/>
        <v>43.09</v>
      </c>
      <c r="G146" s="531"/>
      <c r="H146" s="526" t="s">
        <v>196</v>
      </c>
      <c r="I146" s="526"/>
      <c r="J146" s="531">
        <v>1</v>
      </c>
      <c r="K146" s="531"/>
      <c r="L146" s="526" t="s">
        <v>197</v>
      </c>
      <c r="M146" s="526"/>
      <c r="N146" s="532">
        <f t="shared" si="3"/>
        <v>43.09</v>
      </c>
      <c r="O146" s="532"/>
      <c r="P146" s="200" t="s">
        <v>148</v>
      </c>
      <c r="AJ146" s="201"/>
      <c r="AK146" s="202"/>
      <c r="AL146" s="202"/>
      <c r="AM146" s="203"/>
      <c r="AN146" s="203"/>
    </row>
    <row r="147" spans="1:40">
      <c r="A147" s="526" t="s">
        <v>384</v>
      </c>
      <c r="B147" s="526"/>
      <c r="C147" s="526"/>
      <c r="D147" s="526"/>
      <c r="F147" s="531">
        <f t="shared" si="2"/>
        <v>52.83</v>
      </c>
      <c r="G147" s="531"/>
      <c r="H147" s="526" t="s">
        <v>196</v>
      </c>
      <c r="I147" s="526"/>
      <c r="J147" s="531">
        <v>1</v>
      </c>
      <c r="K147" s="531"/>
      <c r="L147" s="526" t="s">
        <v>197</v>
      </c>
      <c r="M147" s="526"/>
      <c r="N147" s="532">
        <f t="shared" si="3"/>
        <v>52.83</v>
      </c>
      <c r="O147" s="532"/>
      <c r="P147" s="200" t="s">
        <v>148</v>
      </c>
      <c r="AJ147" s="201"/>
      <c r="AK147" s="202"/>
      <c r="AL147" s="202"/>
      <c r="AM147" s="203"/>
      <c r="AN147" s="203"/>
    </row>
    <row r="148" spans="1:40">
      <c r="A148" s="526" t="s">
        <v>385</v>
      </c>
      <c r="B148" s="526"/>
      <c r="C148" s="526"/>
      <c r="D148" s="526"/>
      <c r="F148" s="531">
        <f t="shared" si="2"/>
        <v>45.25</v>
      </c>
      <c r="G148" s="531"/>
      <c r="H148" s="526" t="s">
        <v>196</v>
      </c>
      <c r="I148" s="526"/>
      <c r="J148" s="531">
        <v>1</v>
      </c>
      <c r="K148" s="531"/>
      <c r="L148" s="526" t="s">
        <v>197</v>
      </c>
      <c r="M148" s="526"/>
      <c r="N148" s="532">
        <f t="shared" si="3"/>
        <v>45.25</v>
      </c>
      <c r="O148" s="532"/>
      <c r="P148" s="200" t="s">
        <v>148</v>
      </c>
      <c r="AJ148" s="201"/>
      <c r="AK148" s="202"/>
      <c r="AL148" s="202"/>
      <c r="AM148" s="203"/>
      <c r="AN148" s="203"/>
    </row>
    <row r="149" spans="1:40">
      <c r="A149" s="526" t="s">
        <v>386</v>
      </c>
      <c r="B149" s="526"/>
      <c r="C149" s="526"/>
      <c r="D149" s="526"/>
      <c r="F149" s="531">
        <f t="shared" si="2"/>
        <v>45.85</v>
      </c>
      <c r="G149" s="531"/>
      <c r="H149" s="526" t="s">
        <v>196</v>
      </c>
      <c r="I149" s="526"/>
      <c r="J149" s="531">
        <v>1</v>
      </c>
      <c r="K149" s="531"/>
      <c r="L149" s="526" t="s">
        <v>197</v>
      </c>
      <c r="M149" s="526"/>
      <c r="N149" s="532">
        <f t="shared" si="3"/>
        <v>45.85</v>
      </c>
      <c r="O149" s="532"/>
      <c r="P149" s="200" t="s">
        <v>148</v>
      </c>
      <c r="AJ149" s="201"/>
      <c r="AK149" s="202"/>
      <c r="AL149" s="202"/>
      <c r="AM149" s="203"/>
      <c r="AN149" s="203"/>
    </row>
    <row r="150" spans="1:40">
      <c r="A150" s="526" t="s">
        <v>387</v>
      </c>
      <c r="B150" s="526"/>
      <c r="C150" s="526"/>
      <c r="D150" s="526"/>
      <c r="F150" s="531">
        <f t="shared" si="2"/>
        <v>44.28</v>
      </c>
      <c r="G150" s="531"/>
      <c r="H150" s="526" t="s">
        <v>196</v>
      </c>
      <c r="I150" s="526"/>
      <c r="J150" s="531">
        <v>1</v>
      </c>
      <c r="K150" s="531"/>
      <c r="L150" s="526" t="s">
        <v>197</v>
      </c>
      <c r="M150" s="526"/>
      <c r="N150" s="532">
        <f t="shared" si="3"/>
        <v>44.28</v>
      </c>
      <c r="O150" s="532"/>
      <c r="P150" s="200" t="s">
        <v>148</v>
      </c>
      <c r="AJ150" s="201"/>
      <c r="AK150" s="202"/>
      <c r="AL150" s="202"/>
      <c r="AM150" s="203"/>
      <c r="AN150" s="203"/>
    </row>
    <row r="151" spans="1:40">
      <c r="A151" s="215"/>
      <c r="B151" s="215"/>
      <c r="C151" s="215"/>
      <c r="D151" s="215"/>
      <c r="F151" s="216"/>
      <c r="G151" s="216"/>
      <c r="H151" s="215"/>
      <c r="I151" s="215"/>
      <c r="J151" s="216"/>
      <c r="K151" s="216"/>
      <c r="L151" s="215"/>
      <c r="M151" s="215"/>
      <c r="N151" s="204"/>
      <c r="O151" s="204"/>
      <c r="AJ151" s="201"/>
      <c r="AK151" s="202"/>
      <c r="AL151" s="202"/>
      <c r="AM151" s="203"/>
      <c r="AN151" s="203"/>
    </row>
    <row r="152" spans="1:40">
      <c r="A152" s="200" t="s">
        <v>199</v>
      </c>
      <c r="E152" s="205"/>
      <c r="F152" s="205"/>
      <c r="H152" s="216"/>
      <c r="I152" s="216"/>
      <c r="J152" s="215"/>
      <c r="K152" s="215"/>
      <c r="L152" s="216"/>
      <c r="M152" s="216"/>
      <c r="AJ152" s="201"/>
      <c r="AK152" s="202"/>
      <c r="AL152" s="202"/>
      <c r="AM152" s="203"/>
      <c r="AN152" s="203"/>
    </row>
    <row r="153" spans="1:40">
      <c r="A153" s="526" t="s">
        <v>201</v>
      </c>
      <c r="B153" s="526"/>
      <c r="C153" s="526"/>
      <c r="D153" s="526"/>
      <c r="F153" s="531">
        <v>8.5</v>
      </c>
      <c r="G153" s="531"/>
      <c r="H153" s="526" t="s">
        <v>196</v>
      </c>
      <c r="I153" s="526"/>
      <c r="J153" s="531">
        <f>B137</f>
        <v>8</v>
      </c>
      <c r="K153" s="531"/>
      <c r="L153" s="526" t="s">
        <v>197</v>
      </c>
      <c r="M153" s="526"/>
      <c r="N153" s="532">
        <f>F153*J153</f>
        <v>68</v>
      </c>
      <c r="O153" s="532"/>
      <c r="P153" s="200" t="s">
        <v>148</v>
      </c>
      <c r="AJ153" s="201"/>
      <c r="AK153" s="202"/>
      <c r="AL153" s="202"/>
      <c r="AM153" s="203"/>
      <c r="AN153" s="203"/>
    </row>
    <row r="154" spans="1:40">
      <c r="A154" s="526" t="s">
        <v>209</v>
      </c>
      <c r="B154" s="526"/>
      <c r="C154" s="526"/>
      <c r="D154" s="526"/>
      <c r="F154" s="531">
        <v>0.5</v>
      </c>
      <c r="G154" s="531"/>
      <c r="H154" s="526" t="s">
        <v>196</v>
      </c>
      <c r="I154" s="526"/>
      <c r="J154" s="531">
        <f>J159</f>
        <v>26</v>
      </c>
      <c r="K154" s="531"/>
      <c r="L154" s="526" t="s">
        <v>197</v>
      </c>
      <c r="M154" s="526"/>
      <c r="N154" s="532">
        <f>F154*J154</f>
        <v>13</v>
      </c>
      <c r="O154" s="532"/>
      <c r="P154" s="200" t="s">
        <v>148</v>
      </c>
      <c r="S154" s="525"/>
      <c r="T154" s="525"/>
      <c r="U154" s="525"/>
      <c r="AJ154" s="201"/>
      <c r="AK154" s="202"/>
      <c r="AL154" s="202"/>
      <c r="AM154" s="203"/>
      <c r="AN154" s="203"/>
    </row>
    <row r="155" spans="1:40">
      <c r="A155" s="200" t="s">
        <v>210</v>
      </c>
      <c r="F155" s="531">
        <f>SUM(N143:O150)-SUM(N153:O154)</f>
        <v>295.06</v>
      </c>
      <c r="G155" s="533"/>
      <c r="H155" s="200" t="s">
        <v>211</v>
      </c>
      <c r="I155" s="533">
        <v>0.25</v>
      </c>
      <c r="J155" s="533"/>
      <c r="K155" s="200" t="s">
        <v>212</v>
      </c>
      <c r="L155" s="525">
        <f>F155*I155</f>
        <v>73.77</v>
      </c>
      <c r="M155" s="528"/>
      <c r="N155" s="199" t="s">
        <v>85</v>
      </c>
      <c r="AJ155" s="201"/>
      <c r="AK155" s="202"/>
      <c r="AL155" s="202"/>
      <c r="AM155" s="203"/>
      <c r="AN155" s="203"/>
    </row>
    <row r="156" spans="1:40">
      <c r="AJ156" s="201"/>
      <c r="AK156" s="202"/>
      <c r="AL156" s="202"/>
      <c r="AM156" s="203"/>
      <c r="AN156" s="203"/>
    </row>
    <row r="157" spans="1:40">
      <c r="A157" s="200" t="s">
        <v>213</v>
      </c>
      <c r="AJ157" s="201"/>
      <c r="AK157" s="202"/>
      <c r="AL157" s="202"/>
      <c r="AM157" s="203"/>
      <c r="AN157" s="203"/>
    </row>
    <row r="158" spans="1:40">
      <c r="E158" s="533"/>
      <c r="F158" s="533"/>
      <c r="H158" s="527"/>
      <c r="I158" s="527"/>
      <c r="J158" s="526"/>
      <c r="K158" s="526"/>
      <c r="L158" s="531"/>
      <c r="M158" s="531"/>
      <c r="AJ158" s="201"/>
      <c r="AK158" s="202"/>
      <c r="AL158" s="202"/>
      <c r="AM158" s="203"/>
      <c r="AN158" s="203"/>
    </row>
    <row r="159" spans="1:40">
      <c r="A159" s="526" t="s">
        <v>209</v>
      </c>
      <c r="B159" s="526"/>
      <c r="C159" s="526"/>
      <c r="D159" s="526"/>
      <c r="F159" s="531">
        <v>0.25</v>
      </c>
      <c r="G159" s="531"/>
      <c r="H159" s="526" t="s">
        <v>214</v>
      </c>
      <c r="I159" s="526"/>
      <c r="J159" s="531">
        <v>26</v>
      </c>
      <c r="K159" s="531"/>
      <c r="L159" s="526" t="s">
        <v>197</v>
      </c>
      <c r="M159" s="526"/>
      <c r="N159" s="532">
        <f>F159*J159</f>
        <v>6.5</v>
      </c>
      <c r="O159" s="532"/>
      <c r="P159" s="200" t="s">
        <v>85</v>
      </c>
      <c r="AJ159" s="201"/>
      <c r="AK159" s="202"/>
      <c r="AL159" s="202"/>
      <c r="AM159" s="203"/>
      <c r="AN159" s="203"/>
    </row>
    <row r="160" spans="1:40">
      <c r="E160" s="205"/>
      <c r="F160" s="205"/>
      <c r="H160" s="219"/>
      <c r="I160" s="219"/>
      <c r="J160" s="215"/>
      <c r="K160" s="215"/>
      <c r="L160" s="214"/>
      <c r="M160" s="214"/>
      <c r="AJ160" s="201"/>
      <c r="AK160" s="202"/>
      <c r="AL160" s="202"/>
      <c r="AM160" s="203"/>
      <c r="AN160" s="203"/>
    </row>
    <row r="161" spans="1:40">
      <c r="A161" s="200" t="s">
        <v>191</v>
      </c>
      <c r="C161" s="527">
        <f>L155+N159</f>
        <v>80.27</v>
      </c>
      <c r="D161" s="527"/>
      <c r="E161" s="205" t="s">
        <v>85</v>
      </c>
      <c r="F161" s="205"/>
      <c r="H161" s="219"/>
      <c r="I161" s="219"/>
      <c r="J161" s="215"/>
      <c r="K161" s="215"/>
      <c r="L161" s="214"/>
      <c r="M161" s="214"/>
      <c r="AJ161" s="201"/>
      <c r="AK161" s="202"/>
      <c r="AL161" s="202"/>
      <c r="AM161" s="203"/>
      <c r="AN161" s="203"/>
    </row>
    <row r="162" spans="1:40">
      <c r="AJ162" s="201"/>
      <c r="AK162" s="202"/>
      <c r="AL162" s="202"/>
      <c r="AM162" s="203"/>
      <c r="AN162" s="203"/>
    </row>
    <row r="163" spans="1:40" ht="15">
      <c r="A163" s="542" t="s">
        <v>426</v>
      </c>
      <c r="B163" s="542"/>
      <c r="C163" s="542"/>
      <c r="D163" s="542"/>
      <c r="E163" s="542"/>
      <c r="F163" s="542"/>
      <c r="G163" s="542"/>
      <c r="H163" s="542"/>
      <c r="I163" s="542"/>
      <c r="J163" s="542"/>
      <c r="K163" s="542"/>
      <c r="L163" s="542"/>
      <c r="M163" s="542"/>
      <c r="N163" s="542"/>
      <c r="O163" s="542"/>
      <c r="P163" s="542"/>
      <c r="Q163" s="542"/>
      <c r="R163" s="542"/>
      <c r="S163" s="542"/>
      <c r="T163" s="542"/>
      <c r="U163" s="542"/>
      <c r="V163" s="542"/>
      <c r="W163" s="542"/>
      <c r="X163" s="542"/>
      <c r="Y163" s="542"/>
      <c r="Z163" s="542"/>
      <c r="AA163" s="542"/>
      <c r="AB163" s="542"/>
      <c r="AC163" s="542"/>
      <c r="AD163" s="542"/>
      <c r="AE163" s="542"/>
      <c r="AF163" s="542"/>
      <c r="AG163" s="542"/>
      <c r="AH163" s="542"/>
      <c r="AI163" s="542"/>
      <c r="AJ163" s="201"/>
      <c r="AK163" s="202"/>
      <c r="AL163" s="202"/>
      <c r="AM163" s="203"/>
      <c r="AN163" s="203"/>
    </row>
    <row r="164" spans="1:40">
      <c r="AJ164" s="201"/>
      <c r="AK164" s="202"/>
      <c r="AL164" s="202"/>
      <c r="AM164" s="203"/>
      <c r="AN164" s="203"/>
    </row>
    <row r="165" spans="1:40">
      <c r="A165" s="530" t="s">
        <v>491</v>
      </c>
      <c r="B165" s="530"/>
      <c r="C165" s="530"/>
      <c r="D165" s="530"/>
      <c r="E165" s="530"/>
      <c r="F165" s="530"/>
      <c r="G165" s="530"/>
      <c r="H165" s="530"/>
      <c r="I165" s="530"/>
      <c r="J165" s="530"/>
      <c r="K165" s="530"/>
      <c r="L165" s="530"/>
      <c r="M165" s="530"/>
      <c r="N165" s="530"/>
      <c r="O165" s="530"/>
      <c r="P165" s="530"/>
      <c r="Q165" s="530"/>
      <c r="R165" s="530"/>
      <c r="S165" s="530"/>
      <c r="T165" s="530"/>
      <c r="U165" s="530"/>
      <c r="V165" s="530"/>
      <c r="W165" s="530"/>
      <c r="X165" s="530"/>
      <c r="Y165" s="530"/>
      <c r="Z165" s="530"/>
      <c r="AA165" s="530"/>
      <c r="AB165" s="530"/>
      <c r="AC165" s="530"/>
      <c r="AD165" s="530"/>
      <c r="AE165" s="530"/>
      <c r="AF165" s="530"/>
      <c r="AG165" s="530"/>
      <c r="AH165" s="530"/>
      <c r="AI165" s="530"/>
      <c r="AJ165" s="201"/>
      <c r="AK165" s="202"/>
      <c r="AL165" s="202"/>
      <c r="AM165" s="203"/>
      <c r="AN165" s="203"/>
    </row>
    <row r="166" spans="1:40">
      <c r="AJ166" s="201"/>
      <c r="AK166" s="202"/>
      <c r="AL166" s="202"/>
      <c r="AM166" s="203"/>
      <c r="AN166" s="203"/>
    </row>
    <row r="167" spans="1:40">
      <c r="A167" s="200" t="s">
        <v>174</v>
      </c>
      <c r="C167" s="525">
        <f>B101</f>
        <v>376.06</v>
      </c>
      <c r="D167" s="525"/>
      <c r="E167" s="214"/>
      <c r="F167" s="198" t="s">
        <v>175</v>
      </c>
      <c r="G167" s="200" t="s">
        <v>216</v>
      </c>
      <c r="H167" s="528">
        <v>0.15</v>
      </c>
      <c r="I167" s="528"/>
      <c r="J167" s="198" t="s">
        <v>217</v>
      </c>
      <c r="K167" s="525">
        <v>0.15</v>
      </c>
      <c r="L167" s="525"/>
      <c r="M167" s="214" t="s">
        <v>218</v>
      </c>
      <c r="N167" s="200"/>
      <c r="O167" s="200"/>
      <c r="Q167" s="199"/>
      <c r="R167" s="199"/>
      <c r="AJ167" s="201"/>
      <c r="AK167" s="202"/>
      <c r="AL167" s="202"/>
      <c r="AM167" s="203"/>
      <c r="AN167" s="203"/>
    </row>
    <row r="168" spans="1:40">
      <c r="A168" s="200" t="s">
        <v>174</v>
      </c>
      <c r="B168" s="543">
        <f>(C167)*(H167+K167)</f>
        <v>112.82</v>
      </c>
      <c r="C168" s="543"/>
      <c r="D168" s="543"/>
      <c r="E168" s="200" t="s">
        <v>85</v>
      </c>
      <c r="AJ168" s="201"/>
      <c r="AK168" s="202"/>
      <c r="AL168" s="202"/>
      <c r="AM168" s="203"/>
      <c r="AN168" s="203"/>
    </row>
    <row r="169" spans="1:40">
      <c r="AJ169" s="201"/>
      <c r="AK169" s="202"/>
      <c r="AL169" s="202"/>
      <c r="AM169" s="203"/>
      <c r="AN169" s="203"/>
    </row>
    <row r="170" spans="1:40" s="223" customFormat="1" ht="15" customHeight="1">
      <c r="A170" s="544" t="s">
        <v>427</v>
      </c>
      <c r="B170" s="544"/>
      <c r="C170" s="544"/>
      <c r="D170" s="544"/>
      <c r="E170" s="544"/>
      <c r="F170" s="544"/>
      <c r="G170" s="544"/>
      <c r="H170" s="544"/>
      <c r="I170" s="544"/>
      <c r="J170" s="544"/>
      <c r="K170" s="544"/>
      <c r="L170" s="544"/>
      <c r="M170" s="544"/>
      <c r="N170" s="544"/>
      <c r="O170" s="544"/>
      <c r="P170" s="544"/>
      <c r="Q170" s="544"/>
      <c r="R170" s="544"/>
      <c r="S170" s="544"/>
      <c r="T170" s="544"/>
      <c r="U170" s="544"/>
      <c r="V170" s="544"/>
      <c r="W170" s="544"/>
      <c r="X170" s="544"/>
      <c r="Y170" s="544"/>
      <c r="Z170" s="544"/>
      <c r="AA170" s="544"/>
      <c r="AB170" s="544"/>
      <c r="AC170" s="544"/>
      <c r="AD170" s="544"/>
      <c r="AE170" s="544"/>
      <c r="AF170" s="544"/>
      <c r="AG170" s="544"/>
      <c r="AH170" s="544"/>
      <c r="AI170" s="544"/>
      <c r="AJ170" s="220"/>
      <c r="AK170" s="221"/>
      <c r="AL170" s="221"/>
      <c r="AM170" s="222"/>
      <c r="AN170" s="222"/>
    </row>
    <row r="171" spans="1:40">
      <c r="AM171" s="203"/>
      <c r="AN171" s="203"/>
    </row>
    <row r="172" spans="1:40" ht="14.25" customHeight="1">
      <c r="A172" s="538" t="s">
        <v>490</v>
      </c>
      <c r="B172" s="538"/>
      <c r="C172" s="538"/>
      <c r="D172" s="538"/>
      <c r="E172" s="538"/>
      <c r="F172" s="538"/>
      <c r="G172" s="538"/>
      <c r="H172" s="538"/>
      <c r="I172" s="538"/>
      <c r="J172" s="538"/>
      <c r="K172" s="538"/>
      <c r="L172" s="538"/>
      <c r="M172" s="538"/>
      <c r="N172" s="538"/>
      <c r="O172" s="538"/>
      <c r="P172" s="538"/>
      <c r="Q172" s="538"/>
      <c r="R172" s="538"/>
      <c r="S172" s="538"/>
      <c r="T172" s="538"/>
      <c r="U172" s="538"/>
      <c r="V172" s="538"/>
      <c r="W172" s="538"/>
      <c r="X172" s="538"/>
      <c r="Y172" s="538"/>
      <c r="Z172" s="538"/>
      <c r="AA172" s="538"/>
      <c r="AB172" s="538"/>
      <c r="AC172" s="538"/>
      <c r="AD172" s="538"/>
      <c r="AE172" s="538"/>
      <c r="AF172" s="538"/>
      <c r="AG172" s="538"/>
      <c r="AH172" s="538"/>
      <c r="AI172" s="538"/>
      <c r="AM172" s="203"/>
      <c r="AN172" s="203"/>
    </row>
    <row r="173" spans="1:40">
      <c r="A173" s="538"/>
      <c r="B173" s="538"/>
      <c r="C173" s="538"/>
      <c r="D173" s="538"/>
      <c r="E173" s="538"/>
      <c r="F173" s="538"/>
      <c r="G173" s="538"/>
      <c r="H173" s="538"/>
      <c r="I173" s="538"/>
      <c r="J173" s="538"/>
      <c r="K173" s="538"/>
      <c r="L173" s="538"/>
      <c r="M173" s="538"/>
      <c r="N173" s="538"/>
      <c r="O173" s="538"/>
      <c r="P173" s="538"/>
      <c r="Q173" s="538"/>
      <c r="R173" s="538"/>
      <c r="S173" s="538"/>
      <c r="T173" s="538"/>
      <c r="U173" s="538"/>
      <c r="V173" s="538"/>
      <c r="W173" s="538"/>
      <c r="X173" s="538"/>
      <c r="Y173" s="538"/>
      <c r="Z173" s="538"/>
      <c r="AA173" s="538"/>
      <c r="AB173" s="538"/>
      <c r="AC173" s="538"/>
      <c r="AD173" s="538"/>
      <c r="AE173" s="538"/>
      <c r="AF173" s="538"/>
      <c r="AG173" s="538"/>
      <c r="AH173" s="538"/>
      <c r="AI173" s="538"/>
      <c r="AM173" s="203"/>
      <c r="AN173" s="203"/>
    </row>
    <row r="174" spans="1:40">
      <c r="AJ174" s="525" t="s">
        <v>220</v>
      </c>
      <c r="AK174" s="525"/>
      <c r="AL174" s="199" t="s">
        <v>221</v>
      </c>
      <c r="AM174" s="203"/>
      <c r="AN174" s="203"/>
    </row>
    <row r="175" spans="1:40">
      <c r="B175" s="200" t="s">
        <v>222</v>
      </c>
      <c r="AK175" s="198"/>
      <c r="AM175" s="203"/>
      <c r="AN175" s="203"/>
    </row>
    <row r="176" spans="1:40">
      <c r="A176" s="200" t="s">
        <v>174</v>
      </c>
      <c r="B176" s="527">
        <f>AJ177</f>
        <v>0</v>
      </c>
      <c r="C176" s="527"/>
      <c r="D176" s="200" t="s">
        <v>102</v>
      </c>
      <c r="F176" s="200" t="s">
        <v>175</v>
      </c>
      <c r="G176" s="525">
        <f>AL177</f>
        <v>0.28000000000000003</v>
      </c>
      <c r="H176" s="525"/>
      <c r="I176" s="200" t="s">
        <v>223</v>
      </c>
      <c r="AK176" s="198"/>
      <c r="AM176" s="203"/>
      <c r="AN176" s="203"/>
    </row>
    <row r="177" spans="1:40">
      <c r="A177" s="200" t="s">
        <v>224</v>
      </c>
      <c r="B177" s="543">
        <f>B176*G176</f>
        <v>0</v>
      </c>
      <c r="C177" s="543"/>
      <c r="D177" s="530" t="s">
        <v>85</v>
      </c>
      <c r="E177" s="530"/>
      <c r="AJ177" s="198">
        <v>0</v>
      </c>
      <c r="AL177" s="199">
        <f>PI()*0.3^2</f>
        <v>0.28000000000000003</v>
      </c>
      <c r="AM177" s="203"/>
      <c r="AN177" s="203"/>
    </row>
    <row r="179" spans="1:40">
      <c r="B179" s="200" t="s">
        <v>225</v>
      </c>
      <c r="AK179" s="198"/>
      <c r="AM179" s="203"/>
      <c r="AN179" s="203"/>
    </row>
    <row r="180" spans="1:40">
      <c r="A180" s="200" t="s">
        <v>174</v>
      </c>
      <c r="B180" s="527">
        <f>AJ181</f>
        <v>2</v>
      </c>
      <c r="C180" s="527"/>
      <c r="D180" s="200" t="s">
        <v>102</v>
      </c>
      <c r="F180" s="200" t="s">
        <v>175</v>
      </c>
      <c r="G180" s="525">
        <f>AL181</f>
        <v>0.2</v>
      </c>
      <c r="H180" s="525"/>
      <c r="I180" s="200" t="s">
        <v>223</v>
      </c>
      <c r="AJ180" s="525" t="s">
        <v>226</v>
      </c>
      <c r="AK180" s="525"/>
      <c r="AM180" s="203"/>
      <c r="AN180" s="203"/>
    </row>
    <row r="181" spans="1:40">
      <c r="A181" s="200" t="s">
        <v>224</v>
      </c>
      <c r="B181" s="543">
        <f>B180*G180</f>
        <v>0.4</v>
      </c>
      <c r="C181" s="543"/>
      <c r="D181" s="530" t="s">
        <v>85</v>
      </c>
      <c r="E181" s="530"/>
      <c r="AJ181" s="198">
        <v>2</v>
      </c>
      <c r="AL181" s="199">
        <f>PI()*0.25^2</f>
        <v>0.2</v>
      </c>
      <c r="AM181" s="203"/>
      <c r="AN181" s="203"/>
    </row>
    <row r="183" spans="1:40">
      <c r="A183" s="200" t="s">
        <v>185</v>
      </c>
      <c r="C183" s="525">
        <f>B177+B181</f>
        <v>0.4</v>
      </c>
      <c r="D183" s="528"/>
      <c r="E183" s="200" t="s">
        <v>85</v>
      </c>
    </row>
    <row r="185" spans="1:40" s="197" customFormat="1" ht="15">
      <c r="A185" s="539" t="s">
        <v>328</v>
      </c>
      <c r="B185" s="540"/>
      <c r="C185" s="540"/>
      <c r="D185" s="540"/>
      <c r="E185" s="540"/>
      <c r="F185" s="540"/>
      <c r="G185" s="540"/>
      <c r="H185" s="540"/>
      <c r="I185" s="540"/>
      <c r="J185" s="540"/>
      <c r="K185" s="540"/>
      <c r="L185" s="540"/>
      <c r="M185" s="540"/>
      <c r="N185" s="540"/>
      <c r="O185" s="540"/>
      <c r="P185" s="540"/>
      <c r="Q185" s="540"/>
      <c r="R185" s="540"/>
      <c r="S185" s="540"/>
      <c r="T185" s="540"/>
      <c r="U185" s="540"/>
      <c r="V185" s="540"/>
      <c r="W185" s="540"/>
      <c r="X185" s="540"/>
      <c r="Y185" s="540"/>
      <c r="Z185" s="540"/>
      <c r="AA185" s="540"/>
      <c r="AB185" s="540"/>
      <c r="AC185" s="540"/>
      <c r="AD185" s="540"/>
      <c r="AE185" s="540"/>
      <c r="AF185" s="540"/>
      <c r="AG185" s="540"/>
      <c r="AH185" s="540"/>
      <c r="AI185" s="541"/>
      <c r="AJ185" s="224"/>
      <c r="AK185" s="210"/>
      <c r="AL185" s="210"/>
    </row>
    <row r="186" spans="1:40" s="197" customFormat="1">
      <c r="A186" s="200"/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199"/>
      <c r="O186" s="199"/>
      <c r="P186" s="200"/>
      <c r="Q186" s="200"/>
      <c r="R186" s="200"/>
      <c r="S186" s="199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24"/>
      <c r="AK186" s="210"/>
      <c r="AL186" s="210"/>
    </row>
    <row r="187" spans="1:40" s="197" customFormat="1" ht="15">
      <c r="A187" s="542" t="s">
        <v>329</v>
      </c>
      <c r="B187" s="542"/>
      <c r="C187" s="542"/>
      <c r="D187" s="542"/>
      <c r="E187" s="542"/>
      <c r="F187" s="542"/>
      <c r="G187" s="542"/>
      <c r="H187" s="542"/>
      <c r="I187" s="542"/>
      <c r="J187" s="542"/>
      <c r="K187" s="542"/>
      <c r="L187" s="542"/>
      <c r="M187" s="542"/>
      <c r="N187" s="542"/>
      <c r="O187" s="542"/>
      <c r="P187" s="542"/>
      <c r="Q187" s="542"/>
      <c r="R187" s="542"/>
      <c r="S187" s="542"/>
      <c r="T187" s="542"/>
      <c r="U187" s="542"/>
      <c r="V187" s="542"/>
      <c r="W187" s="542"/>
      <c r="X187" s="542"/>
      <c r="Y187" s="542"/>
      <c r="Z187" s="542"/>
      <c r="AA187" s="542"/>
      <c r="AB187" s="542"/>
      <c r="AC187" s="542"/>
      <c r="AD187" s="542"/>
      <c r="AE187" s="542"/>
      <c r="AF187" s="542"/>
      <c r="AG187" s="542"/>
      <c r="AH187" s="542"/>
      <c r="AI187" s="542"/>
      <c r="AJ187" s="224"/>
      <c r="AK187" s="210"/>
      <c r="AL187" s="210"/>
    </row>
    <row r="188" spans="1:40" s="197" customFormat="1">
      <c r="A188" s="200"/>
      <c r="B188" s="200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199"/>
      <c r="O188" s="199"/>
      <c r="P188" s="200"/>
      <c r="Q188" s="200"/>
      <c r="R188" s="200"/>
      <c r="S188" s="199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24"/>
      <c r="AK188" s="210"/>
      <c r="AL188" s="210"/>
    </row>
    <row r="189" spans="1:40" s="197" customFormat="1">
      <c r="A189" s="530" t="s">
        <v>335</v>
      </c>
      <c r="B189" s="530"/>
      <c r="C189" s="530"/>
      <c r="D189" s="530"/>
      <c r="E189" s="530"/>
      <c r="F189" s="530"/>
      <c r="G189" s="530"/>
      <c r="H189" s="530"/>
      <c r="I189" s="530"/>
      <c r="J189" s="530"/>
      <c r="K189" s="530"/>
      <c r="L189" s="530"/>
      <c r="M189" s="530"/>
      <c r="N189" s="530"/>
      <c r="O189" s="530"/>
      <c r="P189" s="530"/>
      <c r="Q189" s="530"/>
      <c r="R189" s="530"/>
      <c r="S189" s="530"/>
      <c r="T189" s="530"/>
      <c r="U189" s="530"/>
      <c r="V189" s="530"/>
      <c r="W189" s="530"/>
      <c r="X189" s="530"/>
      <c r="Y189" s="530"/>
      <c r="Z189" s="530"/>
      <c r="AA189" s="530"/>
      <c r="AB189" s="530"/>
      <c r="AC189" s="530"/>
      <c r="AD189" s="530"/>
      <c r="AE189" s="530"/>
      <c r="AF189" s="530"/>
      <c r="AG189" s="530"/>
      <c r="AH189" s="530"/>
      <c r="AI189" s="530"/>
      <c r="AJ189" s="224"/>
      <c r="AK189" s="210"/>
      <c r="AL189" s="210"/>
    </row>
    <row r="190" spans="1:40" s="197" customFormat="1">
      <c r="A190" s="200"/>
      <c r="B190" s="200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24"/>
      <c r="AK190" s="210"/>
      <c r="AL190" s="210"/>
    </row>
    <row r="191" spans="1:40" s="197" customFormat="1">
      <c r="A191" s="526" t="s">
        <v>350</v>
      </c>
      <c r="B191" s="526"/>
      <c r="C191" s="526"/>
      <c r="D191" s="526"/>
      <c r="E191" s="526"/>
      <c r="F191" s="526"/>
      <c r="G191" s="531">
        <v>21</v>
      </c>
      <c r="H191" s="531"/>
      <c r="I191" s="200" t="s">
        <v>196</v>
      </c>
      <c r="J191" s="531">
        <v>1</v>
      </c>
      <c r="K191" s="531"/>
      <c r="L191" s="528" t="s">
        <v>197</v>
      </c>
      <c r="M191" s="528"/>
      <c r="N191" s="531">
        <f>G191*J191</f>
        <v>21</v>
      </c>
      <c r="O191" s="531"/>
      <c r="P191" s="200" t="s">
        <v>148</v>
      </c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24"/>
      <c r="AK191" s="210"/>
      <c r="AL191" s="210"/>
    </row>
    <row r="192" spans="1:40" s="197" customFormat="1">
      <c r="A192" s="200"/>
      <c r="B192" s="200"/>
      <c r="C192" s="200"/>
      <c r="D192" s="200"/>
      <c r="E192" s="200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24"/>
      <c r="AK192" s="210"/>
      <c r="AL192" s="210"/>
    </row>
    <row r="193" spans="1:38" s="197" customFormat="1">
      <c r="A193" s="200" t="s">
        <v>191</v>
      </c>
      <c r="B193" s="200"/>
      <c r="C193" s="527">
        <f>SUM(N191:N191)</f>
        <v>21</v>
      </c>
      <c r="D193" s="527"/>
      <c r="E193" s="200" t="s">
        <v>148</v>
      </c>
      <c r="F193" s="200"/>
      <c r="G193" s="200"/>
      <c r="H193" s="200"/>
      <c r="I193" s="200"/>
      <c r="J193" s="200"/>
      <c r="K193" s="200"/>
      <c r="L193" s="200"/>
      <c r="M193" s="200"/>
      <c r="N193" s="199"/>
      <c r="O193" s="199"/>
      <c r="P193" s="200"/>
      <c r="Q193" s="200"/>
      <c r="R193" s="200"/>
      <c r="S193" s="199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24"/>
      <c r="AK193" s="210"/>
      <c r="AL193" s="210"/>
    </row>
    <row r="194" spans="1:38" s="197" customFormat="1">
      <c r="A194" s="200"/>
      <c r="B194" s="200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199"/>
      <c r="O194" s="199"/>
      <c r="P194" s="200"/>
      <c r="Q194" s="200"/>
      <c r="R194" s="200"/>
      <c r="S194" s="199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24"/>
      <c r="AK194" s="210"/>
      <c r="AL194" s="210"/>
    </row>
    <row r="195" spans="1:38" s="197" customFormat="1" ht="29.25" customHeight="1">
      <c r="A195" s="529" t="s">
        <v>336</v>
      </c>
      <c r="B195" s="529"/>
      <c r="C195" s="529"/>
      <c r="D195" s="529"/>
      <c r="E195" s="529"/>
      <c r="F195" s="529"/>
      <c r="G195" s="529"/>
      <c r="H195" s="529"/>
      <c r="I195" s="529"/>
      <c r="J195" s="529"/>
      <c r="K195" s="529"/>
      <c r="L195" s="529"/>
      <c r="M195" s="529"/>
      <c r="N195" s="529"/>
      <c r="O195" s="529"/>
      <c r="P195" s="529"/>
      <c r="Q195" s="529"/>
      <c r="R195" s="529"/>
      <c r="S195" s="529"/>
      <c r="T195" s="529"/>
      <c r="U195" s="529"/>
      <c r="V195" s="529"/>
      <c r="W195" s="529"/>
      <c r="X195" s="529"/>
      <c r="Y195" s="529"/>
      <c r="Z195" s="529"/>
      <c r="AA195" s="529"/>
      <c r="AB195" s="529"/>
      <c r="AC195" s="529"/>
      <c r="AD195" s="529"/>
      <c r="AE195" s="529"/>
      <c r="AF195" s="529"/>
      <c r="AG195" s="529"/>
      <c r="AH195" s="529"/>
      <c r="AI195" s="529"/>
      <c r="AJ195" s="224"/>
      <c r="AK195" s="210"/>
      <c r="AL195" s="210"/>
    </row>
    <row r="196" spans="1:38" s="197" customFormat="1" ht="15">
      <c r="A196" s="385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5"/>
      <c r="P196" s="385"/>
      <c r="Q196" s="385"/>
      <c r="R196" s="385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5"/>
      <c r="AG196" s="385"/>
      <c r="AH196" s="385"/>
      <c r="AI196" s="385"/>
      <c r="AJ196" s="224"/>
      <c r="AK196" s="210"/>
      <c r="AL196" s="210"/>
    </row>
    <row r="197" spans="1:38" s="197" customFormat="1">
      <c r="A197" s="538" t="s">
        <v>337</v>
      </c>
      <c r="B197" s="538"/>
      <c r="C197" s="538"/>
      <c r="D197" s="538"/>
      <c r="E197" s="538"/>
      <c r="F197" s="538"/>
      <c r="G197" s="538"/>
      <c r="H197" s="538"/>
      <c r="I197" s="538"/>
      <c r="J197" s="538"/>
      <c r="K197" s="538"/>
      <c r="L197" s="538"/>
      <c r="M197" s="538"/>
      <c r="N197" s="538"/>
      <c r="O197" s="538"/>
      <c r="P197" s="538"/>
      <c r="Q197" s="538"/>
      <c r="R197" s="538"/>
      <c r="S197" s="538"/>
      <c r="T197" s="538"/>
      <c r="U197" s="538"/>
      <c r="V197" s="538"/>
      <c r="W197" s="538"/>
      <c r="X197" s="538"/>
      <c r="Y197" s="538"/>
      <c r="Z197" s="538"/>
      <c r="AA197" s="538"/>
      <c r="AB197" s="538"/>
      <c r="AC197" s="538"/>
      <c r="AD197" s="538"/>
      <c r="AE197" s="538"/>
      <c r="AF197" s="538"/>
      <c r="AG197" s="538"/>
      <c r="AH197" s="538"/>
      <c r="AI197" s="538"/>
      <c r="AJ197" s="224"/>
      <c r="AK197" s="210"/>
      <c r="AL197" s="210"/>
    </row>
    <row r="198" spans="1:38" s="197" customFormat="1" ht="15">
      <c r="A198" s="385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5"/>
      <c r="P198" s="385"/>
      <c r="Q198" s="385"/>
      <c r="R198" s="385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5"/>
      <c r="AG198" s="385"/>
      <c r="AH198" s="385"/>
      <c r="AI198" s="385"/>
      <c r="AL198" s="210"/>
    </row>
    <row r="199" spans="1:38" s="197" customFormat="1">
      <c r="A199" s="200"/>
      <c r="B199" s="200"/>
      <c r="C199" s="200"/>
      <c r="D199" s="200"/>
      <c r="E199" s="200"/>
      <c r="F199" s="200"/>
      <c r="G199" s="528" t="s">
        <v>81</v>
      </c>
      <c r="H199" s="528"/>
      <c r="I199" s="200"/>
      <c r="J199" s="528" t="s">
        <v>338</v>
      </c>
      <c r="K199" s="528"/>
      <c r="L199" s="200"/>
      <c r="M199" s="200"/>
      <c r="N199" s="525" t="s">
        <v>339</v>
      </c>
      <c r="O199" s="525"/>
      <c r="P199" s="200"/>
      <c r="Q199" s="200"/>
      <c r="R199" s="528" t="s">
        <v>340</v>
      </c>
      <c r="S199" s="528"/>
      <c r="T199" s="200"/>
      <c r="U199" s="200"/>
      <c r="V199" s="528" t="s">
        <v>293</v>
      </c>
      <c r="W199" s="528"/>
      <c r="X199" s="200"/>
      <c r="Y199" s="200"/>
      <c r="Z199" s="200"/>
      <c r="AA199" s="200"/>
      <c r="AB199" s="200"/>
      <c r="AC199" s="200"/>
      <c r="AD199" s="200"/>
      <c r="AE199" s="200"/>
      <c r="AF199" s="200"/>
      <c r="AG199" s="200"/>
      <c r="AH199" s="200"/>
      <c r="AI199" s="200"/>
      <c r="AJ199" s="224"/>
      <c r="AK199" s="210"/>
      <c r="AL199" s="210"/>
    </row>
    <row r="200" spans="1:38" s="197" customFormat="1">
      <c r="A200" s="526" t="s">
        <v>350</v>
      </c>
      <c r="B200" s="526"/>
      <c r="C200" s="526"/>
      <c r="D200" s="526"/>
      <c r="E200" s="526"/>
      <c r="F200" s="526"/>
      <c r="G200" s="531">
        <f>C193</f>
        <v>21</v>
      </c>
      <c r="H200" s="531"/>
      <c r="I200" s="200" t="s">
        <v>196</v>
      </c>
      <c r="J200" s="531">
        <v>1.5</v>
      </c>
      <c r="K200" s="531"/>
      <c r="L200" s="526" t="s">
        <v>196</v>
      </c>
      <c r="M200" s="526"/>
      <c r="N200" s="532">
        <f>1.2+0.15</f>
        <v>1.35</v>
      </c>
      <c r="O200" s="532"/>
      <c r="P200" s="526" t="s">
        <v>196</v>
      </c>
      <c r="Q200" s="526"/>
      <c r="R200" s="531">
        <v>1</v>
      </c>
      <c r="S200" s="531"/>
      <c r="T200" s="526" t="s">
        <v>197</v>
      </c>
      <c r="U200" s="526"/>
      <c r="V200" s="527">
        <f>G200*J200*N200*R200</f>
        <v>42.53</v>
      </c>
      <c r="W200" s="527"/>
      <c r="X200" s="225" t="s">
        <v>58</v>
      </c>
      <c r="Y200" s="200"/>
      <c r="Z200" s="200"/>
      <c r="AA200" s="200"/>
      <c r="AB200" s="200"/>
      <c r="AC200" s="200"/>
      <c r="AD200" s="200"/>
      <c r="AE200" s="200"/>
      <c r="AF200" s="200"/>
      <c r="AG200" s="200"/>
      <c r="AH200" s="200"/>
      <c r="AI200" s="200"/>
      <c r="AJ200" s="224"/>
      <c r="AK200" s="210"/>
      <c r="AL200" s="210"/>
    </row>
    <row r="201" spans="1:38" s="197" customFormat="1">
      <c r="A201" s="200" t="s">
        <v>341</v>
      </c>
      <c r="B201" s="200"/>
      <c r="C201" s="200"/>
      <c r="D201" s="200"/>
      <c r="E201" s="200"/>
      <c r="F201" s="200"/>
      <c r="G201" s="531">
        <v>1.5</v>
      </c>
      <c r="H201" s="531"/>
      <c r="I201" s="200" t="s">
        <v>196</v>
      </c>
      <c r="J201" s="531">
        <v>1.5</v>
      </c>
      <c r="K201" s="531"/>
      <c r="L201" s="526" t="s">
        <v>196</v>
      </c>
      <c r="M201" s="526"/>
      <c r="N201" s="532">
        <f>1.2+0.15</f>
        <v>1.35</v>
      </c>
      <c r="O201" s="532"/>
      <c r="P201" s="526" t="s">
        <v>196</v>
      </c>
      <c r="Q201" s="526"/>
      <c r="R201" s="531">
        <v>2</v>
      </c>
      <c r="S201" s="531"/>
      <c r="T201" s="526" t="s">
        <v>197</v>
      </c>
      <c r="U201" s="526"/>
      <c r="V201" s="527">
        <f t="shared" ref="V201" si="4">G201*J201*N201*R201</f>
        <v>6.08</v>
      </c>
      <c r="W201" s="527"/>
      <c r="X201" s="225" t="s">
        <v>58</v>
      </c>
      <c r="Y201" s="200"/>
      <c r="Z201" s="200"/>
      <c r="AA201" s="200"/>
      <c r="AB201" s="200"/>
      <c r="AC201" s="200"/>
      <c r="AD201" s="200"/>
      <c r="AE201" s="200"/>
      <c r="AF201" s="200"/>
      <c r="AG201" s="200"/>
      <c r="AH201" s="200"/>
      <c r="AI201" s="200"/>
      <c r="AJ201" s="224"/>
      <c r="AK201" s="210"/>
      <c r="AL201" s="210"/>
    </row>
    <row r="202" spans="1:38" s="197" customFormat="1">
      <c r="A202" s="200"/>
      <c r="B202" s="200"/>
      <c r="C202" s="200"/>
      <c r="D202" s="200"/>
      <c r="E202" s="200"/>
      <c r="F202" s="200"/>
      <c r="G202" s="200"/>
      <c r="H202" s="200"/>
      <c r="I202" s="200"/>
      <c r="J202" s="200"/>
      <c r="K202" s="200"/>
      <c r="L202" s="200"/>
      <c r="M202" s="200"/>
      <c r="N202" s="199"/>
      <c r="O202" s="199"/>
      <c r="P202" s="200"/>
      <c r="Q202" s="200"/>
      <c r="R202" s="200"/>
      <c r="S202" s="199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24"/>
      <c r="AK202" s="210"/>
      <c r="AL202" s="210"/>
    </row>
    <row r="203" spans="1:38" s="197" customFormat="1">
      <c r="A203" s="200" t="s">
        <v>191</v>
      </c>
      <c r="B203" s="200"/>
      <c r="C203" s="531">
        <f>SUM(V200:W201)</f>
        <v>48.61</v>
      </c>
      <c r="D203" s="533"/>
      <c r="E203" s="200" t="s">
        <v>58</v>
      </c>
      <c r="F203" s="200"/>
      <c r="G203" s="200"/>
      <c r="H203" s="200"/>
      <c r="I203" s="200"/>
      <c r="J203" s="200"/>
      <c r="K203" s="200"/>
      <c r="L203" s="200"/>
      <c r="M203" s="200"/>
      <c r="N203" s="199"/>
      <c r="O203" s="199"/>
      <c r="P203" s="200"/>
      <c r="Q203" s="200"/>
      <c r="R203" s="200"/>
      <c r="S203" s="199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24"/>
      <c r="AK203" s="210"/>
      <c r="AL203" s="210"/>
    </row>
    <row r="204" spans="1:38" s="197" customFormat="1">
      <c r="A204" s="200"/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199"/>
      <c r="O204" s="199"/>
      <c r="P204" s="200"/>
      <c r="Q204" s="200"/>
      <c r="R204" s="200"/>
      <c r="S204" s="199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24"/>
      <c r="AK204" s="210"/>
      <c r="AL204" s="210"/>
    </row>
    <row r="205" spans="1:38" s="197" customFormat="1" ht="15">
      <c r="A205" s="534" t="s">
        <v>352</v>
      </c>
      <c r="B205" s="534"/>
      <c r="C205" s="534"/>
      <c r="D205" s="534"/>
      <c r="E205" s="534"/>
      <c r="F205" s="534"/>
      <c r="G205" s="534"/>
      <c r="H205" s="534"/>
      <c r="I205" s="534"/>
      <c r="J205" s="534"/>
      <c r="K205" s="534"/>
      <c r="L205" s="534"/>
      <c r="M205" s="534"/>
      <c r="N205" s="534"/>
      <c r="O205" s="534"/>
      <c r="P205" s="534"/>
      <c r="Q205" s="534"/>
      <c r="R205" s="534"/>
      <c r="S205" s="534"/>
      <c r="T205" s="534"/>
      <c r="U205" s="534"/>
      <c r="V205" s="534"/>
      <c r="W205" s="534"/>
      <c r="X205" s="534"/>
      <c r="Y205" s="534"/>
      <c r="Z205" s="534"/>
      <c r="AA205" s="534"/>
      <c r="AB205" s="534"/>
      <c r="AC205" s="534"/>
      <c r="AD205" s="534"/>
      <c r="AE205" s="534"/>
      <c r="AF205" s="534"/>
      <c r="AG205" s="534"/>
      <c r="AH205" s="534"/>
      <c r="AI205" s="534"/>
      <c r="AJ205" s="224"/>
      <c r="AK205" s="210"/>
      <c r="AL205" s="210"/>
    </row>
    <row r="206" spans="1:38" s="197" customFormat="1">
      <c r="A206" s="200"/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199"/>
      <c r="O206" s="199"/>
      <c r="P206" s="200"/>
      <c r="Q206" s="200"/>
      <c r="R206" s="200"/>
      <c r="S206" s="199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24"/>
      <c r="AK206" s="210"/>
      <c r="AL206" s="210"/>
    </row>
    <row r="207" spans="1:38" s="197" customFormat="1">
      <c r="A207" s="200"/>
      <c r="B207" s="200"/>
      <c r="C207" s="200"/>
      <c r="D207" s="200"/>
      <c r="E207" s="200"/>
      <c r="F207" s="200"/>
      <c r="G207" s="528" t="s">
        <v>81</v>
      </c>
      <c r="H207" s="528"/>
      <c r="I207" s="200"/>
      <c r="J207" s="525" t="s">
        <v>339</v>
      </c>
      <c r="K207" s="525"/>
      <c r="L207" s="200"/>
      <c r="M207" s="200"/>
      <c r="N207" s="528" t="s">
        <v>340</v>
      </c>
      <c r="O207" s="528"/>
      <c r="P207" s="200"/>
      <c r="Q207" s="200"/>
      <c r="R207" s="528" t="s">
        <v>293</v>
      </c>
      <c r="S207" s="528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/>
      <c r="AF207" s="224"/>
      <c r="AG207" s="210"/>
      <c r="AH207" s="210"/>
    </row>
    <row r="208" spans="1:38" s="197" customFormat="1">
      <c r="A208" s="526" t="s">
        <v>350</v>
      </c>
      <c r="B208" s="526"/>
      <c r="C208" s="526"/>
      <c r="D208" s="526"/>
      <c r="E208" s="526"/>
      <c r="F208" s="526"/>
      <c r="G208" s="531">
        <f>G200</f>
        <v>21</v>
      </c>
      <c r="H208" s="531"/>
      <c r="I208" s="200" t="s">
        <v>196</v>
      </c>
      <c r="J208" s="532">
        <f>N200</f>
        <v>1.35</v>
      </c>
      <c r="K208" s="532"/>
      <c r="L208" s="526" t="s">
        <v>196</v>
      </c>
      <c r="M208" s="526"/>
      <c r="N208" s="531">
        <f>R200*2</f>
        <v>2</v>
      </c>
      <c r="O208" s="531"/>
      <c r="P208" s="526" t="s">
        <v>197</v>
      </c>
      <c r="Q208" s="526"/>
      <c r="R208" s="527">
        <f>G208*J208*N208</f>
        <v>56.7</v>
      </c>
      <c r="S208" s="527"/>
      <c r="T208" s="225" t="s">
        <v>85</v>
      </c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/>
      <c r="AF208" s="224"/>
      <c r="AG208" s="210"/>
      <c r="AH208" s="210"/>
    </row>
    <row r="209" spans="1:38" s="197" customFormat="1">
      <c r="A209" s="200" t="s">
        <v>341</v>
      </c>
      <c r="B209" s="200"/>
      <c r="C209" s="200"/>
      <c r="D209" s="200"/>
      <c r="E209" s="200"/>
      <c r="F209" s="200"/>
      <c r="G209" s="531">
        <v>1.5</v>
      </c>
      <c r="H209" s="531"/>
      <c r="I209" s="200" t="s">
        <v>196</v>
      </c>
      <c r="J209" s="532">
        <f>N201</f>
        <v>1.35</v>
      </c>
      <c r="K209" s="532"/>
      <c r="L209" s="526" t="s">
        <v>196</v>
      </c>
      <c r="M209" s="526"/>
      <c r="N209" s="531">
        <f>R201*2</f>
        <v>4</v>
      </c>
      <c r="O209" s="531"/>
      <c r="P209" s="526" t="s">
        <v>197</v>
      </c>
      <c r="Q209" s="526"/>
      <c r="R209" s="527">
        <f t="shared" ref="R209" si="5">G209*J209*N209</f>
        <v>8.1</v>
      </c>
      <c r="S209" s="527"/>
      <c r="T209" s="225" t="s">
        <v>85</v>
      </c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24"/>
      <c r="AG209" s="210"/>
      <c r="AH209" s="210"/>
    </row>
    <row r="210" spans="1:38" s="197" customFormat="1">
      <c r="A210" s="200"/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199"/>
      <c r="O210" s="199"/>
      <c r="P210" s="200"/>
      <c r="Q210" s="200"/>
      <c r="R210" s="200"/>
      <c r="S210" s="199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24"/>
      <c r="AK210" s="210"/>
      <c r="AL210" s="210"/>
    </row>
    <row r="211" spans="1:38" s="197" customFormat="1">
      <c r="A211" s="200" t="s">
        <v>191</v>
      </c>
      <c r="B211" s="200"/>
      <c r="C211" s="531">
        <f>SUM(R208:S209)</f>
        <v>64.8</v>
      </c>
      <c r="D211" s="533"/>
      <c r="E211" s="200" t="s">
        <v>85</v>
      </c>
      <c r="F211" s="200"/>
      <c r="G211" s="200"/>
      <c r="H211" s="200"/>
      <c r="I211" s="200"/>
      <c r="J211" s="200"/>
      <c r="K211" s="200"/>
      <c r="L211" s="200"/>
      <c r="M211" s="200"/>
      <c r="N211" s="199"/>
      <c r="O211" s="199"/>
      <c r="P211" s="200"/>
      <c r="Q211" s="200"/>
      <c r="R211" s="200"/>
      <c r="S211" s="199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24"/>
      <c r="AK211" s="210"/>
      <c r="AL211" s="210"/>
    </row>
    <row r="212" spans="1:38" s="197" customFormat="1">
      <c r="A212" s="200"/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199"/>
      <c r="O212" s="199"/>
      <c r="P212" s="200"/>
      <c r="Q212" s="200"/>
      <c r="R212" s="200"/>
      <c r="S212" s="199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24"/>
      <c r="AK212" s="210"/>
      <c r="AL212" s="210"/>
    </row>
    <row r="213" spans="1:38" s="197" customFormat="1" ht="15">
      <c r="A213" s="534" t="s">
        <v>354</v>
      </c>
      <c r="B213" s="534"/>
      <c r="C213" s="534"/>
      <c r="D213" s="534"/>
      <c r="E213" s="534"/>
      <c r="F213" s="534"/>
      <c r="G213" s="534"/>
      <c r="H213" s="534"/>
      <c r="I213" s="534"/>
      <c r="J213" s="534"/>
      <c r="K213" s="534"/>
      <c r="L213" s="534"/>
      <c r="M213" s="534"/>
      <c r="N213" s="534"/>
      <c r="O213" s="534"/>
      <c r="P213" s="534"/>
      <c r="Q213" s="534"/>
      <c r="R213" s="534"/>
      <c r="S213" s="534"/>
      <c r="T213" s="534"/>
      <c r="U213" s="534"/>
      <c r="V213" s="534"/>
      <c r="W213" s="534"/>
      <c r="X213" s="534"/>
      <c r="Y213" s="534"/>
      <c r="Z213" s="534"/>
      <c r="AA213" s="534"/>
      <c r="AB213" s="534"/>
      <c r="AC213" s="534"/>
      <c r="AD213" s="534"/>
      <c r="AE213" s="534"/>
      <c r="AF213" s="534"/>
      <c r="AG213" s="534"/>
      <c r="AH213" s="534"/>
      <c r="AI213" s="534"/>
      <c r="AJ213" s="224"/>
      <c r="AK213" s="210"/>
      <c r="AL213" s="210"/>
    </row>
    <row r="214" spans="1:38" s="197" customFormat="1">
      <c r="A214" s="200"/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199"/>
      <c r="O214" s="199"/>
      <c r="P214" s="200"/>
      <c r="Q214" s="200"/>
      <c r="R214" s="200"/>
      <c r="S214" s="199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24"/>
      <c r="AK214" s="210"/>
      <c r="AL214" s="210"/>
    </row>
    <row r="215" spans="1:38" s="197" customFormat="1">
      <c r="A215" s="526" t="s">
        <v>417</v>
      </c>
      <c r="B215" s="526"/>
      <c r="C215" s="526"/>
      <c r="D215" s="526"/>
      <c r="E215" s="526"/>
      <c r="F215" s="526"/>
      <c r="G215" s="526"/>
      <c r="H215" s="526"/>
      <c r="I215" s="526"/>
      <c r="J215" s="526"/>
      <c r="K215" s="526"/>
      <c r="L215" s="526"/>
      <c r="M215" s="526"/>
      <c r="N215" s="526"/>
      <c r="O215" s="526"/>
      <c r="P215" s="526"/>
      <c r="Q215" s="526"/>
      <c r="R215" s="526"/>
      <c r="S215" s="526"/>
      <c r="T215" s="526"/>
      <c r="U215" s="526"/>
      <c r="V215" s="526"/>
      <c r="W215" s="526"/>
      <c r="X215" s="526"/>
      <c r="Y215" s="526"/>
      <c r="Z215" s="526"/>
      <c r="AA215" s="526"/>
      <c r="AB215" s="526"/>
      <c r="AC215" s="526"/>
      <c r="AD215" s="526"/>
      <c r="AE215" s="526"/>
      <c r="AF215" s="526"/>
      <c r="AG215" s="526"/>
      <c r="AH215" s="526"/>
      <c r="AI215" s="526"/>
      <c r="AJ215" s="224"/>
      <c r="AK215" s="210"/>
      <c r="AL215" s="210"/>
    </row>
    <row r="216" spans="1:38" s="197" customFormat="1">
      <c r="A216" s="200"/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199"/>
      <c r="O216" s="199"/>
      <c r="P216" s="200"/>
      <c r="Q216" s="200"/>
      <c r="R216" s="200"/>
      <c r="S216" s="199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24"/>
      <c r="AK216" s="210"/>
      <c r="AL216" s="210"/>
    </row>
    <row r="217" spans="1:38" s="197" customFormat="1">
      <c r="A217" s="200"/>
      <c r="B217" s="200"/>
      <c r="C217" s="200"/>
      <c r="D217" s="200"/>
      <c r="E217" s="200"/>
      <c r="F217" s="200"/>
      <c r="G217" s="528" t="s">
        <v>81</v>
      </c>
      <c r="H217" s="528"/>
      <c r="I217" s="200"/>
      <c r="J217" s="528" t="s">
        <v>338</v>
      </c>
      <c r="K217" s="528"/>
      <c r="L217" s="200"/>
      <c r="M217" s="200"/>
      <c r="N217" s="525" t="s">
        <v>339</v>
      </c>
      <c r="O217" s="525"/>
      <c r="P217" s="200"/>
      <c r="Q217" s="200"/>
      <c r="R217" s="528" t="s">
        <v>340</v>
      </c>
      <c r="S217" s="528"/>
      <c r="T217" s="200"/>
      <c r="U217" s="200"/>
      <c r="V217" s="528" t="s">
        <v>293</v>
      </c>
      <c r="W217" s="528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24"/>
      <c r="AK217" s="210"/>
      <c r="AL217" s="210"/>
    </row>
    <row r="218" spans="1:38" s="197" customFormat="1">
      <c r="A218" s="526" t="s">
        <v>350</v>
      </c>
      <c r="B218" s="526"/>
      <c r="C218" s="526"/>
      <c r="D218" s="526"/>
      <c r="E218" s="526"/>
      <c r="F218" s="526"/>
      <c r="G218" s="531">
        <f>G208</f>
        <v>21</v>
      </c>
      <c r="H218" s="531"/>
      <c r="I218" s="200" t="s">
        <v>196</v>
      </c>
      <c r="J218" s="531">
        <v>1.5</v>
      </c>
      <c r="K218" s="531"/>
      <c r="L218" s="526" t="s">
        <v>196</v>
      </c>
      <c r="M218" s="526"/>
      <c r="N218" s="532">
        <v>0.15</v>
      </c>
      <c r="O218" s="532"/>
      <c r="P218" s="526" t="s">
        <v>196</v>
      </c>
      <c r="Q218" s="526"/>
      <c r="R218" s="531">
        <v>1</v>
      </c>
      <c r="S218" s="531"/>
      <c r="T218" s="526" t="s">
        <v>197</v>
      </c>
      <c r="U218" s="526"/>
      <c r="V218" s="527">
        <f>G218*J218*N218*R218</f>
        <v>4.7300000000000004</v>
      </c>
      <c r="W218" s="527"/>
      <c r="X218" s="225" t="s">
        <v>58</v>
      </c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24"/>
      <c r="AK218" s="210"/>
      <c r="AL218" s="210"/>
    </row>
    <row r="219" spans="1:38" s="197" customFormat="1">
      <c r="A219" s="215"/>
      <c r="B219" s="215"/>
      <c r="C219" s="215"/>
      <c r="D219" s="215"/>
      <c r="E219" s="215"/>
      <c r="F219" s="215"/>
      <c r="G219" s="205"/>
      <c r="H219" s="205"/>
      <c r="I219" s="200"/>
      <c r="J219" s="216"/>
      <c r="K219" s="216"/>
      <c r="L219" s="215"/>
      <c r="M219" s="215"/>
      <c r="N219" s="204"/>
      <c r="O219" s="204"/>
      <c r="P219" s="215"/>
      <c r="Q219" s="215"/>
      <c r="R219" s="216"/>
      <c r="S219" s="216"/>
      <c r="T219" s="215"/>
      <c r="U219" s="215"/>
      <c r="V219" s="219"/>
      <c r="W219" s="219"/>
      <c r="X219" s="225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24"/>
      <c r="AK219" s="210"/>
      <c r="AL219" s="210"/>
    </row>
    <row r="220" spans="1:38" s="197" customFormat="1">
      <c r="A220" s="200" t="s">
        <v>191</v>
      </c>
      <c r="B220" s="200"/>
      <c r="C220" s="531">
        <f>SUM(V218:W218)</f>
        <v>4.7300000000000004</v>
      </c>
      <c r="D220" s="533"/>
      <c r="E220" s="200" t="s">
        <v>58</v>
      </c>
      <c r="F220" s="200"/>
      <c r="G220" s="200"/>
      <c r="H220" s="200"/>
      <c r="I220" s="200"/>
      <c r="J220" s="200"/>
      <c r="K220" s="200"/>
      <c r="L220" s="200"/>
      <c r="M220" s="200"/>
      <c r="N220" s="199"/>
      <c r="O220" s="199"/>
      <c r="P220" s="200"/>
      <c r="Q220" s="200"/>
      <c r="R220" s="200"/>
      <c r="S220" s="199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24"/>
      <c r="AK220" s="210"/>
      <c r="AL220" s="210"/>
    </row>
    <row r="221" spans="1:38" s="197" customFormat="1">
      <c r="A221" s="200"/>
      <c r="B221" s="200"/>
      <c r="C221" s="200"/>
      <c r="D221" s="200"/>
      <c r="E221" s="200"/>
      <c r="F221" s="200"/>
      <c r="G221" s="200"/>
      <c r="H221" s="200"/>
      <c r="I221" s="200"/>
      <c r="J221" s="200"/>
      <c r="K221" s="200"/>
      <c r="L221" s="200"/>
      <c r="M221" s="200"/>
      <c r="N221" s="199"/>
      <c r="O221" s="199"/>
      <c r="P221" s="200"/>
      <c r="Q221" s="200"/>
      <c r="R221" s="200"/>
      <c r="S221" s="199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00"/>
      <c r="AF221" s="200"/>
      <c r="AG221" s="200"/>
      <c r="AH221" s="200"/>
      <c r="AI221" s="200"/>
      <c r="AJ221" s="224"/>
      <c r="AK221" s="210"/>
      <c r="AL221" s="210"/>
    </row>
    <row r="222" spans="1:38" s="197" customFormat="1" ht="29.25" customHeight="1">
      <c r="A222" s="529" t="s">
        <v>414</v>
      </c>
      <c r="B222" s="529"/>
      <c r="C222" s="529"/>
      <c r="D222" s="529"/>
      <c r="E222" s="529"/>
      <c r="F222" s="529"/>
      <c r="G222" s="529"/>
      <c r="H222" s="529"/>
      <c r="I222" s="529"/>
      <c r="J222" s="529"/>
      <c r="K222" s="529"/>
      <c r="L222" s="529"/>
      <c r="M222" s="529"/>
      <c r="N222" s="529"/>
      <c r="O222" s="529"/>
      <c r="P222" s="529"/>
      <c r="Q222" s="529"/>
      <c r="R222" s="529"/>
      <c r="S222" s="529"/>
      <c r="T222" s="529"/>
      <c r="U222" s="529"/>
      <c r="V222" s="529"/>
      <c r="W222" s="529"/>
      <c r="X222" s="529"/>
      <c r="Y222" s="529"/>
      <c r="Z222" s="529"/>
      <c r="AA222" s="529"/>
      <c r="AB222" s="529"/>
      <c r="AC222" s="529"/>
      <c r="AD222" s="529"/>
      <c r="AE222" s="529"/>
      <c r="AF222" s="529"/>
      <c r="AG222" s="529"/>
      <c r="AH222" s="529"/>
      <c r="AI222" s="529"/>
      <c r="AJ222" s="224"/>
      <c r="AK222" s="210"/>
      <c r="AL222" s="210"/>
    </row>
    <row r="223" spans="1:38" s="197" customFormat="1">
      <c r="A223" s="200"/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00"/>
      <c r="M223" s="200"/>
      <c r="N223" s="199"/>
      <c r="O223" s="199"/>
      <c r="P223" s="200"/>
      <c r="Q223" s="200"/>
      <c r="R223" s="200"/>
      <c r="S223" s="199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200"/>
      <c r="AE223" s="200"/>
      <c r="AF223" s="200"/>
      <c r="AG223" s="200"/>
      <c r="AH223" s="200"/>
      <c r="AI223" s="200"/>
      <c r="AJ223" s="224"/>
      <c r="AK223" s="210"/>
      <c r="AL223" s="210"/>
    </row>
    <row r="224" spans="1:38" s="197" customFormat="1">
      <c r="A224" s="530" t="s">
        <v>330</v>
      </c>
      <c r="B224" s="530"/>
      <c r="C224" s="530"/>
      <c r="D224" s="530"/>
      <c r="E224" s="530"/>
      <c r="F224" s="530"/>
      <c r="G224" s="530"/>
      <c r="H224" s="530"/>
      <c r="I224" s="530"/>
      <c r="J224" s="530"/>
      <c r="K224" s="530"/>
      <c r="L224" s="530"/>
      <c r="M224" s="530"/>
      <c r="N224" s="530"/>
      <c r="O224" s="530"/>
      <c r="P224" s="530"/>
      <c r="Q224" s="530"/>
      <c r="R224" s="530"/>
      <c r="S224" s="530"/>
      <c r="T224" s="530"/>
      <c r="U224" s="530"/>
      <c r="V224" s="530"/>
      <c r="W224" s="530"/>
      <c r="X224" s="530"/>
      <c r="Y224" s="530"/>
      <c r="Z224" s="530"/>
      <c r="AA224" s="530"/>
      <c r="AB224" s="530"/>
      <c r="AC224" s="530"/>
      <c r="AD224" s="530"/>
      <c r="AE224" s="530"/>
      <c r="AF224" s="530"/>
      <c r="AG224" s="530"/>
      <c r="AH224" s="530"/>
      <c r="AI224" s="530"/>
      <c r="AJ224" s="224"/>
      <c r="AK224" s="210"/>
      <c r="AL224" s="210"/>
    </row>
    <row r="225" spans="1:41" s="197" customFormat="1">
      <c r="A225" s="200"/>
      <c r="B225" s="200"/>
      <c r="C225" s="200"/>
      <c r="D225" s="200"/>
      <c r="E225" s="200"/>
      <c r="F225" s="200"/>
      <c r="G225" s="200"/>
      <c r="H225" s="200"/>
      <c r="I225" s="200"/>
      <c r="J225" s="200"/>
      <c r="K225" s="200"/>
      <c r="L225" s="200"/>
      <c r="M225" s="200"/>
      <c r="N225" s="199"/>
      <c r="O225" s="199"/>
      <c r="P225" s="200"/>
      <c r="Q225" s="200"/>
      <c r="R225" s="200"/>
      <c r="S225" s="199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/>
      <c r="AD225" s="200"/>
      <c r="AE225" s="200"/>
      <c r="AF225" s="200"/>
      <c r="AG225" s="200"/>
      <c r="AH225" s="200"/>
      <c r="AI225" s="200"/>
      <c r="AJ225" s="226"/>
      <c r="AK225" s="210"/>
      <c r="AL225" s="210"/>
    </row>
    <row r="226" spans="1:41" s="197" customFormat="1">
      <c r="A226" s="526" t="s">
        <v>350</v>
      </c>
      <c r="B226" s="526"/>
      <c r="C226" s="526"/>
      <c r="D226" s="526"/>
      <c r="E226" s="526"/>
      <c r="F226" s="526"/>
      <c r="G226" s="531">
        <f>G218</f>
        <v>21</v>
      </c>
      <c r="H226" s="531"/>
      <c r="I226" s="200" t="s">
        <v>148</v>
      </c>
      <c r="J226" s="225"/>
      <c r="K226" s="225"/>
      <c r="L226" s="200"/>
      <c r="M226" s="200"/>
      <c r="N226" s="200"/>
      <c r="O226" s="200"/>
      <c r="P226" s="200"/>
      <c r="Q226" s="200"/>
      <c r="R226" s="200"/>
      <c r="S226" s="200"/>
      <c r="T226" s="200"/>
      <c r="U226" s="200"/>
      <c r="V226" s="200"/>
      <c r="W226" s="200"/>
      <c r="X226" s="200"/>
      <c r="Y226" s="200"/>
      <c r="Z226" s="200"/>
      <c r="AA226" s="200"/>
      <c r="AB226" s="200"/>
      <c r="AC226" s="200"/>
      <c r="AD226" s="200"/>
      <c r="AE226" s="200"/>
      <c r="AF226" s="200"/>
      <c r="AG226" s="200"/>
      <c r="AH226" s="200"/>
      <c r="AI226" s="200"/>
      <c r="AJ226" s="224"/>
      <c r="AK226" s="210"/>
      <c r="AL226" s="210"/>
    </row>
    <row r="227" spans="1:41" s="197" customFormat="1">
      <c r="A227" s="215"/>
      <c r="B227" s="215"/>
      <c r="C227" s="215"/>
      <c r="D227" s="215"/>
      <c r="E227" s="215"/>
      <c r="F227" s="215"/>
      <c r="G227" s="205"/>
      <c r="H227" s="205"/>
      <c r="I227" s="200"/>
      <c r="J227" s="216"/>
      <c r="K227" s="216"/>
      <c r="L227" s="214"/>
      <c r="M227" s="214"/>
      <c r="N227" s="200"/>
      <c r="O227" s="200"/>
      <c r="P227" s="200"/>
      <c r="Q227" s="200"/>
      <c r="R227" s="200"/>
      <c r="S227" s="200"/>
      <c r="T227" s="200"/>
      <c r="U227" s="200"/>
      <c r="V227" s="200"/>
      <c r="W227" s="200"/>
      <c r="X227" s="200"/>
      <c r="Y227" s="200"/>
      <c r="Z227" s="200"/>
      <c r="AA227" s="200"/>
      <c r="AB227" s="200"/>
      <c r="AC227" s="200"/>
      <c r="AD227" s="200"/>
      <c r="AE227" s="200"/>
      <c r="AF227" s="200"/>
      <c r="AG227" s="200"/>
      <c r="AH227" s="200"/>
      <c r="AI227" s="200"/>
      <c r="AJ227" s="224"/>
      <c r="AK227" s="210"/>
      <c r="AL227" s="210"/>
    </row>
    <row r="228" spans="1:41" s="197" customFormat="1">
      <c r="A228" s="526" t="s">
        <v>191</v>
      </c>
      <c r="B228" s="526"/>
      <c r="C228" s="531">
        <f>SUM(G226:H226)</f>
        <v>21</v>
      </c>
      <c r="D228" s="531"/>
      <c r="E228" s="215" t="s">
        <v>148</v>
      </c>
      <c r="F228" s="215"/>
      <c r="G228" s="205"/>
      <c r="H228" s="205"/>
      <c r="I228" s="200"/>
      <c r="J228" s="216"/>
      <c r="K228" s="216"/>
      <c r="L228" s="214"/>
      <c r="M228" s="214"/>
      <c r="N228" s="200"/>
      <c r="O228" s="200"/>
      <c r="P228" s="200"/>
      <c r="Q228" s="200"/>
      <c r="R228" s="200"/>
      <c r="S228" s="200"/>
      <c r="T228" s="200"/>
      <c r="U228" s="200"/>
      <c r="V228" s="200"/>
      <c r="W228" s="200"/>
      <c r="X228" s="200"/>
      <c r="Y228" s="200"/>
      <c r="Z228" s="200"/>
      <c r="AA228" s="200"/>
      <c r="AB228" s="200"/>
      <c r="AC228" s="200"/>
      <c r="AD228" s="200"/>
      <c r="AE228" s="200"/>
      <c r="AF228" s="200"/>
      <c r="AG228" s="200"/>
      <c r="AH228" s="200"/>
      <c r="AI228" s="200"/>
      <c r="AJ228" s="224"/>
      <c r="AK228" s="210"/>
      <c r="AL228" s="210"/>
    </row>
    <row r="229" spans="1:41" s="197" customFormat="1">
      <c r="A229" s="215"/>
      <c r="B229" s="215"/>
      <c r="C229" s="215"/>
      <c r="D229" s="215"/>
      <c r="E229" s="215"/>
      <c r="F229" s="215"/>
      <c r="G229" s="205"/>
      <c r="H229" s="205"/>
      <c r="I229" s="200"/>
      <c r="J229" s="216"/>
      <c r="K229" s="216"/>
      <c r="L229" s="214"/>
      <c r="M229" s="214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24"/>
      <c r="AK229" s="210"/>
      <c r="AL229" s="210"/>
    </row>
    <row r="230" spans="1:41" s="197" customFormat="1" ht="15">
      <c r="A230" s="534" t="s">
        <v>415</v>
      </c>
      <c r="B230" s="534"/>
      <c r="C230" s="534"/>
      <c r="D230" s="534"/>
      <c r="E230" s="534"/>
      <c r="F230" s="534"/>
      <c r="G230" s="534"/>
      <c r="H230" s="534"/>
      <c r="I230" s="534"/>
      <c r="J230" s="534"/>
      <c r="K230" s="534"/>
      <c r="L230" s="534"/>
      <c r="M230" s="534"/>
      <c r="N230" s="534"/>
      <c r="O230" s="534"/>
      <c r="P230" s="534"/>
      <c r="Q230" s="534"/>
      <c r="R230" s="534"/>
      <c r="S230" s="534"/>
      <c r="T230" s="534"/>
      <c r="U230" s="534"/>
      <c r="V230" s="534"/>
      <c r="W230" s="534"/>
      <c r="X230" s="534"/>
      <c r="Y230" s="534"/>
      <c r="Z230" s="534"/>
      <c r="AA230" s="534"/>
      <c r="AB230" s="534"/>
      <c r="AC230" s="534"/>
      <c r="AD230" s="534"/>
      <c r="AE230" s="534"/>
      <c r="AF230" s="534"/>
      <c r="AG230" s="534"/>
      <c r="AH230" s="534"/>
      <c r="AI230" s="534"/>
      <c r="AJ230" s="224"/>
      <c r="AK230" s="210"/>
      <c r="AL230" s="210"/>
    </row>
    <row r="231" spans="1:41" s="197" customFormat="1" ht="15" customHeight="1">
      <c r="A231" s="200"/>
      <c r="B231" s="200"/>
      <c r="C231" s="200"/>
      <c r="D231" s="200"/>
      <c r="E231" s="200"/>
      <c r="F231" s="200"/>
      <c r="G231" s="200"/>
      <c r="H231" s="200"/>
      <c r="I231" s="200"/>
      <c r="J231" s="200"/>
      <c r="K231" s="200"/>
      <c r="L231" s="200"/>
      <c r="M231" s="200"/>
      <c r="N231" s="199"/>
      <c r="O231" s="199"/>
      <c r="P231" s="200"/>
      <c r="Q231" s="200"/>
      <c r="R231" s="200"/>
      <c r="S231" s="199"/>
      <c r="T231" s="200"/>
      <c r="U231" s="200"/>
      <c r="V231" s="200"/>
      <c r="W231" s="200"/>
      <c r="X231" s="200"/>
      <c r="Y231" s="200"/>
      <c r="Z231" s="200"/>
      <c r="AA231" s="200"/>
      <c r="AB231" s="200"/>
      <c r="AC231" s="200"/>
      <c r="AD231" s="200"/>
      <c r="AE231" s="200"/>
      <c r="AF231" s="200"/>
      <c r="AG231" s="200"/>
      <c r="AH231" s="200"/>
      <c r="AI231" s="200"/>
      <c r="AJ231" s="224"/>
      <c r="AK231" s="210"/>
      <c r="AL231" s="210"/>
    </row>
    <row r="232" spans="1:41" s="197" customFormat="1">
      <c r="A232" s="535" t="s">
        <v>342</v>
      </c>
      <c r="B232" s="535"/>
      <c r="C232" s="535"/>
      <c r="D232" s="535"/>
      <c r="E232" s="535"/>
      <c r="F232" s="535"/>
      <c r="G232" s="535"/>
      <c r="H232" s="535"/>
      <c r="I232" s="535"/>
      <c r="J232" s="535"/>
      <c r="K232" s="535"/>
      <c r="L232" s="535"/>
      <c r="M232" s="535"/>
      <c r="N232" s="535"/>
      <c r="O232" s="535"/>
      <c r="P232" s="535"/>
      <c r="Q232" s="535"/>
      <c r="R232" s="535"/>
      <c r="S232" s="535"/>
      <c r="T232" s="535"/>
      <c r="U232" s="535"/>
      <c r="V232" s="535"/>
      <c r="W232" s="535"/>
      <c r="X232" s="535"/>
      <c r="Y232" s="535"/>
      <c r="Z232" s="535"/>
      <c r="AA232" s="535"/>
      <c r="AB232" s="535"/>
      <c r="AC232" s="535"/>
      <c r="AD232" s="535"/>
      <c r="AE232" s="535"/>
      <c r="AF232" s="535"/>
      <c r="AG232" s="535"/>
      <c r="AH232" s="535"/>
      <c r="AI232" s="535"/>
      <c r="AJ232" s="224"/>
      <c r="AK232" s="210"/>
      <c r="AL232" s="210"/>
      <c r="AM232" s="227"/>
      <c r="AN232" s="228"/>
      <c r="AO232" s="228"/>
    </row>
    <row r="233" spans="1:41" s="197" customFormat="1">
      <c r="A233" s="200"/>
      <c r="B233" s="200"/>
      <c r="C233" s="200"/>
      <c r="D233" s="200"/>
      <c r="E233" s="200"/>
      <c r="F233" s="200"/>
      <c r="G233" s="200"/>
      <c r="H233" s="200"/>
      <c r="I233" s="200"/>
      <c r="J233" s="200"/>
      <c r="K233" s="200"/>
      <c r="L233" s="200"/>
      <c r="M233" s="200"/>
      <c r="N233" s="199"/>
      <c r="O233" s="199"/>
      <c r="P233" s="200"/>
      <c r="Q233" s="200"/>
      <c r="R233" s="200"/>
      <c r="S233" s="199"/>
      <c r="T233" s="200"/>
      <c r="U233" s="200"/>
      <c r="V233" s="200"/>
      <c r="W233" s="200"/>
      <c r="X233" s="200"/>
      <c r="Y233" s="200"/>
      <c r="Z233" s="200"/>
      <c r="AA233" s="200"/>
      <c r="AB233" s="200"/>
      <c r="AC233" s="200"/>
      <c r="AD233" s="200"/>
      <c r="AE233" s="200"/>
      <c r="AF233" s="200"/>
      <c r="AG233" s="200"/>
      <c r="AH233" s="200"/>
      <c r="AI233" s="200"/>
      <c r="AJ233" s="224"/>
      <c r="AK233" s="210"/>
      <c r="AL233" s="210"/>
    </row>
    <row r="234" spans="1:41" s="197" customFormat="1">
      <c r="A234" s="526" t="s">
        <v>343</v>
      </c>
      <c r="B234" s="526"/>
      <c r="C234" s="526"/>
      <c r="D234" s="526"/>
      <c r="E234" s="526"/>
      <c r="F234" s="526"/>
      <c r="G234" s="536">
        <f>C203</f>
        <v>48.61</v>
      </c>
      <c r="H234" s="537"/>
      <c r="I234" s="200" t="s">
        <v>58</v>
      </c>
      <c r="J234" s="200"/>
      <c r="K234" s="200"/>
      <c r="L234" s="200"/>
      <c r="M234" s="200"/>
      <c r="N234" s="199"/>
      <c r="O234" s="199"/>
      <c r="P234" s="200"/>
      <c r="Q234" s="200"/>
      <c r="R234" s="200"/>
      <c r="S234" s="199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24"/>
      <c r="AK234" s="210"/>
      <c r="AL234" s="210"/>
    </row>
    <row r="235" spans="1:41" s="197" customFormat="1">
      <c r="A235" s="200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199"/>
      <c r="O235" s="199"/>
      <c r="P235" s="200"/>
      <c r="Q235" s="200"/>
      <c r="R235" s="200"/>
      <c r="S235" s="199"/>
      <c r="T235" s="200"/>
      <c r="U235" s="200"/>
      <c r="V235" s="200"/>
      <c r="W235" s="200"/>
      <c r="X235" s="200"/>
      <c r="Y235" s="200"/>
      <c r="Z235" s="200"/>
      <c r="AA235" s="200"/>
      <c r="AB235" s="200"/>
      <c r="AC235" s="200"/>
      <c r="AD235" s="200"/>
      <c r="AE235" s="200"/>
      <c r="AF235" s="200"/>
      <c r="AG235" s="200"/>
      <c r="AH235" s="200"/>
      <c r="AI235" s="200"/>
      <c r="AJ235" s="224"/>
      <c r="AK235" s="210"/>
      <c r="AL235" s="210"/>
    </row>
    <row r="236" spans="1:41" s="197" customFormat="1">
      <c r="A236" s="200" t="s">
        <v>199</v>
      </c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199"/>
      <c r="O236" s="199"/>
      <c r="P236" s="200"/>
      <c r="Q236" s="200"/>
      <c r="R236" s="200"/>
      <c r="S236" s="199"/>
      <c r="T236" s="200"/>
      <c r="U236" s="200"/>
      <c r="V236" s="200"/>
      <c r="W236" s="200"/>
      <c r="X236" s="200"/>
      <c r="Y236" s="200"/>
      <c r="Z236" s="200"/>
      <c r="AA236" s="200"/>
      <c r="AB236" s="200"/>
      <c r="AC236" s="200"/>
      <c r="AD236" s="200"/>
      <c r="AE236" s="200"/>
      <c r="AF236" s="200"/>
      <c r="AG236" s="200"/>
      <c r="AH236" s="200"/>
      <c r="AI236" s="200"/>
      <c r="AJ236" s="224"/>
      <c r="AK236" s="210"/>
      <c r="AL236" s="210"/>
    </row>
    <row r="237" spans="1:41" s="197" customFormat="1">
      <c r="A237" s="200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199"/>
      <c r="O237" s="199"/>
      <c r="P237" s="200"/>
      <c r="Q237" s="200"/>
      <c r="R237" s="200"/>
      <c r="S237" s="199"/>
      <c r="T237" s="200"/>
      <c r="U237" s="200"/>
      <c r="V237" s="200"/>
      <c r="W237" s="200"/>
      <c r="X237" s="200"/>
      <c r="Y237" s="200"/>
      <c r="Z237" s="200"/>
      <c r="AA237" s="200"/>
      <c r="AB237" s="200"/>
      <c r="AC237" s="200"/>
      <c r="AD237" s="200"/>
      <c r="AE237" s="200"/>
      <c r="AF237" s="200"/>
      <c r="AG237" s="200"/>
      <c r="AH237" s="200"/>
      <c r="AI237" s="200"/>
      <c r="AJ237" s="224"/>
      <c r="AK237" s="210"/>
      <c r="AL237" s="210"/>
    </row>
    <row r="238" spans="1:41" s="197" customFormat="1">
      <c r="A238" s="526" t="s">
        <v>344</v>
      </c>
      <c r="B238" s="526"/>
      <c r="C238" s="526"/>
      <c r="D238" s="526"/>
      <c r="E238" s="526"/>
      <c r="F238" s="526"/>
      <c r="G238" s="531">
        <f>C220</f>
        <v>4.7300000000000004</v>
      </c>
      <c r="H238" s="533"/>
      <c r="I238" s="200" t="s">
        <v>58</v>
      </c>
      <c r="J238" s="200"/>
      <c r="K238" s="200"/>
      <c r="L238" s="200"/>
      <c r="M238" s="200"/>
      <c r="N238" s="199"/>
      <c r="O238" s="199"/>
      <c r="P238" s="200"/>
      <c r="Q238" s="200"/>
      <c r="R238" s="200"/>
      <c r="S238" s="199"/>
      <c r="T238" s="200"/>
      <c r="U238" s="200"/>
      <c r="V238" s="200"/>
      <c r="W238" s="200"/>
      <c r="X238" s="200"/>
      <c r="Y238" s="200"/>
      <c r="Z238" s="200"/>
      <c r="AA238" s="200"/>
      <c r="AB238" s="200"/>
      <c r="AC238" s="200"/>
      <c r="AD238" s="200"/>
      <c r="AE238" s="200"/>
      <c r="AF238" s="200"/>
      <c r="AG238" s="200"/>
      <c r="AH238" s="200"/>
      <c r="AI238" s="200"/>
      <c r="AJ238" s="224"/>
      <c r="AK238" s="210"/>
      <c r="AL238" s="210"/>
    </row>
    <row r="239" spans="1:41" s="197" customFormat="1">
      <c r="A239" s="200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199"/>
      <c r="O239" s="199"/>
      <c r="P239" s="200"/>
      <c r="Q239" s="200"/>
      <c r="R239" s="200"/>
      <c r="S239" s="199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  <c r="AJ239" s="224"/>
      <c r="AK239" s="210"/>
      <c r="AL239" s="210"/>
    </row>
    <row r="240" spans="1:41" s="197" customFormat="1">
      <c r="A240" s="526" t="s">
        <v>345</v>
      </c>
      <c r="B240" s="526"/>
      <c r="C240" s="526"/>
      <c r="D240" s="526"/>
      <c r="E240" s="526"/>
      <c r="F240" s="526"/>
      <c r="G240" s="528" t="s">
        <v>81</v>
      </c>
      <c r="H240" s="528"/>
      <c r="I240" s="200"/>
      <c r="J240" s="528" t="s">
        <v>346</v>
      </c>
      <c r="K240" s="528"/>
      <c r="L240" s="200"/>
      <c r="M240" s="200"/>
      <c r="N240" s="199" t="s">
        <v>293</v>
      </c>
      <c r="O240" s="199"/>
      <c r="P240" s="200"/>
      <c r="Q240" s="200"/>
      <c r="R240" s="200"/>
      <c r="S240" s="199"/>
      <c r="T240" s="200"/>
      <c r="U240" s="200"/>
      <c r="V240" s="200"/>
      <c r="W240" s="200"/>
      <c r="X240" s="200"/>
      <c r="Y240" s="200"/>
      <c r="Z240" s="200"/>
      <c r="AA240" s="200"/>
      <c r="AB240" s="200"/>
      <c r="AC240" s="200"/>
      <c r="AD240" s="200"/>
      <c r="AE240" s="200"/>
      <c r="AF240" s="200"/>
      <c r="AG240" s="200"/>
      <c r="AH240" s="200"/>
      <c r="AI240" s="200"/>
      <c r="AJ240" s="224"/>
      <c r="AK240" s="210"/>
      <c r="AL240" s="210"/>
    </row>
    <row r="241" spans="1:38" s="197" customFormat="1">
      <c r="A241" s="526" t="s">
        <v>350</v>
      </c>
      <c r="B241" s="526"/>
      <c r="C241" s="526"/>
      <c r="D241" s="526"/>
      <c r="E241" s="526"/>
      <c r="F241" s="526"/>
      <c r="G241" s="531">
        <f>G218</f>
        <v>21</v>
      </c>
      <c r="H241" s="531"/>
      <c r="I241" s="200" t="s">
        <v>196</v>
      </c>
      <c r="J241" s="531">
        <v>0.17</v>
      </c>
      <c r="K241" s="531"/>
      <c r="L241" s="526" t="s">
        <v>206</v>
      </c>
      <c r="M241" s="526"/>
      <c r="N241" s="525">
        <f>G241*J241</f>
        <v>3.57</v>
      </c>
      <c r="O241" s="525"/>
      <c r="P241" s="199" t="s">
        <v>58</v>
      </c>
      <c r="Q241" s="200"/>
      <c r="R241" s="200"/>
      <c r="S241" s="199"/>
      <c r="T241" s="200"/>
      <c r="U241" s="200"/>
      <c r="V241" s="200"/>
      <c r="W241" s="200"/>
      <c r="X241" s="200"/>
      <c r="Y241" s="200"/>
      <c r="Z241" s="200"/>
      <c r="AA241" s="200"/>
      <c r="AB241" s="200"/>
      <c r="AC241" s="200"/>
      <c r="AD241" s="200"/>
      <c r="AE241" s="200"/>
      <c r="AF241" s="200"/>
      <c r="AG241" s="200"/>
      <c r="AH241" s="200"/>
      <c r="AI241" s="200"/>
      <c r="AJ241" s="224"/>
      <c r="AK241" s="210"/>
      <c r="AL241" s="210"/>
    </row>
    <row r="242" spans="1:38" s="197" customFormat="1">
      <c r="A242" s="200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199"/>
      <c r="O242" s="199"/>
      <c r="P242" s="200"/>
      <c r="Q242" s="200"/>
      <c r="R242" s="200"/>
      <c r="S242" s="199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24"/>
      <c r="AK242" s="210"/>
      <c r="AL242" s="210"/>
    </row>
    <row r="243" spans="1:38" s="197" customFormat="1">
      <c r="A243" s="526" t="s">
        <v>347</v>
      </c>
      <c r="B243" s="526"/>
      <c r="C243" s="526"/>
      <c r="D243" s="526"/>
      <c r="E243" s="526"/>
      <c r="F243" s="526"/>
      <c r="G243" s="528" t="s">
        <v>81</v>
      </c>
      <c r="H243" s="528"/>
      <c r="I243" s="200"/>
      <c r="J243" s="528" t="s">
        <v>338</v>
      </c>
      <c r="K243" s="528"/>
      <c r="L243" s="200"/>
      <c r="N243" s="528" t="s">
        <v>348</v>
      </c>
      <c r="O243" s="528"/>
      <c r="P243" s="199"/>
      <c r="Q243" s="200"/>
      <c r="R243" s="528" t="s">
        <v>340</v>
      </c>
      <c r="S243" s="528"/>
      <c r="T243" s="199"/>
      <c r="U243" s="200"/>
      <c r="V243" s="200" t="s">
        <v>293</v>
      </c>
      <c r="W243" s="200"/>
      <c r="X243" s="200"/>
      <c r="Y243" s="200"/>
      <c r="Z243" s="200"/>
      <c r="AA243" s="200"/>
      <c r="AB243" s="200"/>
      <c r="AC243" s="200"/>
      <c r="AD243" s="200"/>
      <c r="AE243" s="200"/>
      <c r="AF243" s="200"/>
      <c r="AG243" s="200"/>
      <c r="AH243" s="200"/>
      <c r="AI243" s="200"/>
      <c r="AJ243" s="224"/>
      <c r="AK243" s="210"/>
      <c r="AL243" s="210"/>
    </row>
    <row r="244" spans="1:38" s="197" customFormat="1">
      <c r="A244" s="526" t="s">
        <v>341</v>
      </c>
      <c r="B244" s="526"/>
      <c r="C244" s="526"/>
      <c r="D244" s="526"/>
      <c r="E244" s="526"/>
      <c r="F244" s="526"/>
      <c r="G244" s="531">
        <v>1.5</v>
      </c>
      <c r="H244" s="531"/>
      <c r="I244" s="200" t="s">
        <v>196</v>
      </c>
      <c r="J244" s="531">
        <v>1.5</v>
      </c>
      <c r="K244" s="531"/>
      <c r="L244" s="526" t="s">
        <v>196</v>
      </c>
      <c r="M244" s="526"/>
      <c r="N244" s="532">
        <v>1.23</v>
      </c>
      <c r="O244" s="532"/>
      <c r="P244" s="528" t="s">
        <v>196</v>
      </c>
      <c r="Q244" s="528"/>
      <c r="R244" s="531">
        <f>B254</f>
        <v>2</v>
      </c>
      <c r="S244" s="531"/>
      <c r="T244" s="526" t="s">
        <v>197</v>
      </c>
      <c r="U244" s="526"/>
      <c r="V244" s="527">
        <f>G244*J244*N244*R244</f>
        <v>5.54</v>
      </c>
      <c r="W244" s="527"/>
      <c r="X244" s="200" t="s">
        <v>58</v>
      </c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24"/>
      <c r="AK244" s="210"/>
      <c r="AL244" s="210"/>
    </row>
    <row r="245" spans="1:38" s="197" customFormat="1">
      <c r="A245" s="215"/>
      <c r="B245" s="215"/>
      <c r="C245" s="215"/>
      <c r="D245" s="215"/>
      <c r="E245" s="215"/>
      <c r="F245" s="215"/>
      <c r="G245" s="216"/>
      <c r="H245" s="216"/>
      <c r="I245" s="200"/>
      <c r="J245" s="216"/>
      <c r="K245" s="216"/>
      <c r="L245" s="215"/>
      <c r="M245" s="215"/>
      <c r="N245" s="204"/>
      <c r="O245" s="204"/>
      <c r="P245" s="214"/>
      <c r="Q245" s="214"/>
      <c r="R245" s="216"/>
      <c r="S245" s="216"/>
      <c r="T245" s="215"/>
      <c r="U245" s="215"/>
      <c r="V245" s="219"/>
      <c r="W245" s="219"/>
      <c r="X245" s="200"/>
      <c r="Y245" s="200"/>
      <c r="Z245" s="200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24"/>
      <c r="AK245" s="210"/>
      <c r="AL245" s="210"/>
    </row>
    <row r="246" spans="1:38" s="197" customFormat="1">
      <c r="A246" s="215" t="s">
        <v>349</v>
      </c>
      <c r="B246" s="215"/>
      <c r="C246" s="215"/>
      <c r="D246" s="525">
        <f>N241+V244+G238</f>
        <v>13.84</v>
      </c>
      <c r="E246" s="528"/>
      <c r="F246" s="215" t="s">
        <v>58</v>
      </c>
      <c r="G246" s="216"/>
      <c r="H246" s="216"/>
      <c r="I246" s="200"/>
      <c r="J246" s="216"/>
      <c r="K246" s="216"/>
      <c r="L246" s="215"/>
      <c r="M246" s="215"/>
      <c r="N246" s="204"/>
      <c r="O246" s="204"/>
      <c r="P246" s="214"/>
      <c r="Q246" s="214"/>
      <c r="R246" s="216"/>
      <c r="S246" s="216"/>
      <c r="T246" s="215"/>
      <c r="U246" s="215"/>
      <c r="V246" s="219"/>
      <c r="W246" s="219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24"/>
      <c r="AK246" s="210"/>
      <c r="AL246" s="210"/>
    </row>
    <row r="247" spans="1:38" s="197" customFormat="1">
      <c r="A247" s="215"/>
      <c r="B247" s="215"/>
      <c r="C247" s="215"/>
      <c r="D247" s="215"/>
      <c r="E247" s="215"/>
      <c r="F247" s="215"/>
      <c r="G247" s="216"/>
      <c r="H247" s="216"/>
      <c r="I247" s="200"/>
      <c r="J247" s="216"/>
      <c r="K247" s="216"/>
      <c r="L247" s="215"/>
      <c r="M247" s="215"/>
      <c r="N247" s="204"/>
      <c r="O247" s="204"/>
      <c r="P247" s="214"/>
      <c r="Q247" s="214"/>
      <c r="R247" s="216"/>
      <c r="S247" s="216"/>
      <c r="T247" s="215"/>
      <c r="U247" s="215"/>
      <c r="V247" s="219"/>
      <c r="W247" s="219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24"/>
      <c r="AK247" s="210"/>
      <c r="AL247" s="210"/>
    </row>
    <row r="248" spans="1:38" s="197" customFormat="1" ht="16.5">
      <c r="A248" s="200" t="s">
        <v>179</v>
      </c>
      <c r="B248" s="527">
        <f>G234-D246</f>
        <v>34.770000000000003</v>
      </c>
      <c r="C248" s="527"/>
      <c r="D248" s="527"/>
      <c r="E248" s="200" t="s">
        <v>359</v>
      </c>
      <c r="F248" s="200"/>
      <c r="G248" s="200"/>
      <c r="H248" s="200"/>
      <c r="I248" s="200"/>
      <c r="J248" s="200"/>
      <c r="K248" s="200"/>
      <c r="L248" s="200"/>
      <c r="M248" s="200"/>
      <c r="N248" s="199"/>
      <c r="O248" s="199"/>
      <c r="P248" s="200"/>
      <c r="Q248" s="200"/>
      <c r="R248" s="200"/>
      <c r="S248" s="199"/>
      <c r="T248" s="200"/>
      <c r="U248" s="200"/>
      <c r="V248" s="200"/>
      <c r="W248" s="200"/>
      <c r="X248" s="200"/>
      <c r="Y248" s="200"/>
      <c r="Z248" s="200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24"/>
      <c r="AK248" s="210"/>
      <c r="AL248" s="210"/>
    </row>
    <row r="249" spans="1:38" s="197" customFormat="1">
      <c r="A249" s="200"/>
      <c r="B249" s="200"/>
      <c r="C249" s="200"/>
      <c r="D249" s="200"/>
      <c r="E249" s="200"/>
      <c r="F249" s="200"/>
      <c r="G249" s="200"/>
      <c r="H249" s="200"/>
      <c r="I249" s="200"/>
      <c r="J249" s="200"/>
      <c r="K249" s="200"/>
      <c r="L249" s="200"/>
      <c r="M249" s="200"/>
      <c r="N249" s="199"/>
      <c r="O249" s="199"/>
      <c r="P249" s="200"/>
      <c r="Q249" s="200"/>
      <c r="R249" s="200"/>
      <c r="S249" s="199"/>
      <c r="T249" s="200"/>
      <c r="U249" s="200"/>
      <c r="V249" s="200"/>
      <c r="W249" s="200"/>
      <c r="X249" s="200"/>
      <c r="Y249" s="200"/>
      <c r="Z249" s="200"/>
      <c r="AA249" s="200"/>
      <c r="AB249" s="200"/>
      <c r="AC249" s="200"/>
      <c r="AD249" s="200"/>
      <c r="AE249" s="200"/>
      <c r="AF249" s="200"/>
      <c r="AG249" s="200"/>
      <c r="AH249" s="200"/>
      <c r="AI249" s="200"/>
      <c r="AJ249" s="224"/>
      <c r="AK249" s="210"/>
      <c r="AL249" s="210"/>
    </row>
    <row r="250" spans="1:38" s="197" customFormat="1" ht="15" customHeight="1">
      <c r="A250" s="529" t="s">
        <v>416</v>
      </c>
      <c r="B250" s="529"/>
      <c r="C250" s="529"/>
      <c r="D250" s="529"/>
      <c r="E250" s="529"/>
      <c r="F250" s="529"/>
      <c r="G250" s="529"/>
      <c r="H250" s="529"/>
      <c r="I250" s="529"/>
      <c r="J250" s="529"/>
      <c r="K250" s="529"/>
      <c r="L250" s="529"/>
      <c r="M250" s="529"/>
      <c r="N250" s="529"/>
      <c r="O250" s="529"/>
      <c r="P250" s="529"/>
      <c r="Q250" s="529"/>
      <c r="R250" s="529"/>
      <c r="S250" s="529"/>
      <c r="T250" s="529"/>
      <c r="U250" s="529"/>
      <c r="V250" s="529"/>
      <c r="W250" s="529"/>
      <c r="X250" s="529"/>
      <c r="Y250" s="529"/>
      <c r="Z250" s="529"/>
      <c r="AA250" s="529"/>
      <c r="AB250" s="529"/>
      <c r="AC250" s="529"/>
      <c r="AD250" s="529"/>
      <c r="AE250" s="529"/>
      <c r="AF250" s="529"/>
      <c r="AG250" s="529"/>
      <c r="AH250" s="529"/>
      <c r="AI250" s="529"/>
      <c r="AJ250" s="224"/>
      <c r="AK250" s="210"/>
      <c r="AL250" s="210"/>
    </row>
    <row r="251" spans="1:38" s="197" customFormat="1">
      <c r="A251" s="200"/>
      <c r="B251" s="200"/>
      <c r="C251" s="200"/>
      <c r="D251" s="200"/>
      <c r="E251" s="200"/>
      <c r="F251" s="200"/>
      <c r="G251" s="200"/>
      <c r="H251" s="200"/>
      <c r="I251" s="200"/>
      <c r="J251" s="200"/>
      <c r="K251" s="200"/>
      <c r="L251" s="200"/>
      <c r="M251" s="200"/>
      <c r="N251" s="199"/>
      <c r="O251" s="199"/>
      <c r="P251" s="200"/>
      <c r="Q251" s="200"/>
      <c r="R251" s="200"/>
      <c r="S251" s="199"/>
      <c r="T251" s="200"/>
      <c r="U251" s="200"/>
      <c r="V251" s="200"/>
      <c r="W251" s="200"/>
      <c r="X251" s="200"/>
      <c r="Y251" s="200"/>
      <c r="Z251" s="200"/>
      <c r="AA251" s="200"/>
      <c r="AB251" s="200"/>
      <c r="AC251" s="200"/>
      <c r="AD251" s="200"/>
      <c r="AE251" s="200"/>
      <c r="AF251" s="200"/>
      <c r="AG251" s="200"/>
      <c r="AH251" s="200"/>
      <c r="AI251" s="200"/>
      <c r="AJ251" s="224"/>
      <c r="AK251" s="210"/>
      <c r="AL251" s="210"/>
    </row>
    <row r="252" spans="1:38" s="197" customFormat="1">
      <c r="A252" s="530" t="s">
        <v>333</v>
      </c>
      <c r="B252" s="530"/>
      <c r="C252" s="530"/>
      <c r="D252" s="530"/>
      <c r="E252" s="530"/>
      <c r="F252" s="530"/>
      <c r="G252" s="530"/>
      <c r="H252" s="530"/>
      <c r="I252" s="530"/>
      <c r="J252" s="530"/>
      <c r="K252" s="530"/>
      <c r="L252" s="530"/>
      <c r="M252" s="530"/>
      <c r="N252" s="530"/>
      <c r="O252" s="530"/>
      <c r="P252" s="530"/>
      <c r="Q252" s="530"/>
      <c r="R252" s="530"/>
      <c r="S252" s="530"/>
      <c r="T252" s="530"/>
      <c r="U252" s="530"/>
      <c r="V252" s="530"/>
      <c r="W252" s="530"/>
      <c r="X252" s="530"/>
      <c r="Y252" s="530"/>
      <c r="Z252" s="530"/>
      <c r="AA252" s="530"/>
      <c r="AB252" s="530"/>
      <c r="AC252" s="530"/>
      <c r="AD252" s="530"/>
      <c r="AE252" s="530"/>
      <c r="AF252" s="530"/>
      <c r="AG252" s="530"/>
      <c r="AH252" s="530"/>
      <c r="AI252" s="530"/>
      <c r="AJ252" s="224"/>
      <c r="AK252" s="210"/>
      <c r="AL252" s="210"/>
    </row>
    <row r="253" spans="1:38" s="197" customFormat="1">
      <c r="A253" s="200"/>
      <c r="B253" s="200"/>
      <c r="C253" s="200"/>
      <c r="D253" s="200"/>
      <c r="E253" s="200"/>
      <c r="F253" s="200"/>
      <c r="G253" s="200"/>
      <c r="H253" s="200"/>
      <c r="I253" s="200"/>
      <c r="J253" s="200"/>
      <c r="K253" s="200"/>
      <c r="L253" s="200"/>
      <c r="M253" s="200"/>
      <c r="N253" s="199"/>
      <c r="O253" s="199"/>
      <c r="P253" s="200"/>
      <c r="Q253" s="200"/>
      <c r="R253" s="200"/>
      <c r="S253" s="199"/>
      <c r="T253" s="200"/>
      <c r="U253" s="200"/>
      <c r="V253" s="200"/>
      <c r="W253" s="200"/>
      <c r="X253" s="200"/>
      <c r="Y253" s="200"/>
      <c r="Z253" s="200"/>
      <c r="AA253" s="200"/>
      <c r="AB253" s="200"/>
      <c r="AC253" s="200"/>
      <c r="AD253" s="200"/>
      <c r="AE253" s="200"/>
      <c r="AF253" s="200"/>
      <c r="AG253" s="200"/>
      <c r="AH253" s="200"/>
      <c r="AI253" s="200"/>
      <c r="AJ253" s="226"/>
      <c r="AK253" s="210"/>
      <c r="AL253" s="210"/>
    </row>
    <row r="254" spans="1:38" s="197" customFormat="1">
      <c r="A254" s="200" t="s">
        <v>179</v>
      </c>
      <c r="B254" s="525">
        <v>2</v>
      </c>
      <c r="C254" s="525"/>
      <c r="D254" s="200" t="s">
        <v>332</v>
      </c>
      <c r="E254" s="200"/>
      <c r="F254" s="200"/>
      <c r="G254" s="200"/>
      <c r="H254" s="200"/>
      <c r="I254" s="200"/>
      <c r="J254" s="200"/>
      <c r="K254" s="200"/>
      <c r="L254" s="200"/>
      <c r="M254" s="200"/>
      <c r="N254" s="199"/>
      <c r="O254" s="199"/>
      <c r="P254" s="200"/>
      <c r="Q254" s="200"/>
      <c r="R254" s="200"/>
      <c r="S254" s="199"/>
      <c r="T254" s="200"/>
      <c r="U254" s="200"/>
      <c r="V254" s="200"/>
      <c r="W254" s="200"/>
      <c r="X254" s="200"/>
      <c r="Y254" s="200"/>
      <c r="Z254" s="200"/>
      <c r="AA254" s="200"/>
      <c r="AB254" s="200"/>
      <c r="AC254" s="200"/>
      <c r="AD254" s="200"/>
      <c r="AE254" s="200"/>
      <c r="AF254" s="200"/>
      <c r="AG254" s="200"/>
      <c r="AH254" s="200"/>
      <c r="AI254" s="200"/>
      <c r="AJ254" s="224"/>
      <c r="AK254" s="210"/>
      <c r="AL254" s="210"/>
    </row>
    <row r="255" spans="1:38" s="197" customFormat="1">
      <c r="A255" s="200"/>
      <c r="B255" s="200"/>
      <c r="C255" s="200"/>
      <c r="D255" s="200"/>
      <c r="E255" s="200"/>
      <c r="F255" s="200"/>
      <c r="G255" s="200"/>
      <c r="H255" s="200"/>
      <c r="I255" s="200"/>
      <c r="J255" s="200"/>
      <c r="K255" s="200"/>
      <c r="L255" s="200"/>
      <c r="M255" s="200"/>
      <c r="N255" s="199"/>
      <c r="O255" s="199"/>
      <c r="P255" s="200"/>
      <c r="Q255" s="200"/>
      <c r="R255" s="200"/>
      <c r="S255" s="199"/>
      <c r="T255" s="200"/>
      <c r="U255" s="200"/>
      <c r="V255" s="200"/>
      <c r="W255" s="200"/>
      <c r="X255" s="200"/>
      <c r="Y255" s="200"/>
      <c r="Z255" s="200"/>
      <c r="AA255" s="200"/>
      <c r="AB255" s="200"/>
      <c r="AC255" s="200"/>
      <c r="AD255" s="200"/>
      <c r="AE255" s="200"/>
      <c r="AF255" s="200"/>
      <c r="AG255" s="200"/>
      <c r="AH255" s="200"/>
      <c r="AI255" s="200"/>
      <c r="AJ255" s="224"/>
      <c r="AK255" s="210"/>
      <c r="AL255" s="210"/>
    </row>
    <row r="256" spans="1:38" s="197" customFormat="1" ht="15" customHeight="1">
      <c r="A256" s="529" t="s">
        <v>418</v>
      </c>
      <c r="B256" s="529"/>
      <c r="C256" s="529"/>
      <c r="D256" s="529"/>
      <c r="E256" s="529"/>
      <c r="F256" s="529"/>
      <c r="G256" s="529"/>
      <c r="H256" s="529"/>
      <c r="I256" s="529"/>
      <c r="J256" s="529"/>
      <c r="K256" s="529"/>
      <c r="L256" s="529"/>
      <c r="M256" s="529"/>
      <c r="N256" s="529"/>
      <c r="O256" s="529"/>
      <c r="P256" s="529"/>
      <c r="Q256" s="529"/>
      <c r="R256" s="529"/>
      <c r="S256" s="529"/>
      <c r="T256" s="529"/>
      <c r="U256" s="529"/>
      <c r="V256" s="529"/>
      <c r="W256" s="529"/>
      <c r="X256" s="529"/>
      <c r="Y256" s="529"/>
      <c r="Z256" s="529"/>
      <c r="AA256" s="529"/>
      <c r="AB256" s="529"/>
      <c r="AC256" s="529"/>
      <c r="AD256" s="529"/>
      <c r="AE256" s="529"/>
      <c r="AF256" s="529"/>
      <c r="AG256" s="529"/>
      <c r="AH256" s="529"/>
      <c r="AI256" s="529"/>
      <c r="AJ256" s="224"/>
      <c r="AK256" s="210"/>
      <c r="AL256" s="210"/>
    </row>
    <row r="257" spans="1:40" s="197" customFormat="1">
      <c r="A257" s="200"/>
      <c r="B257" s="200"/>
      <c r="C257" s="200"/>
      <c r="D257" s="200"/>
      <c r="E257" s="200"/>
      <c r="F257" s="200"/>
      <c r="G257" s="200"/>
      <c r="H257" s="200"/>
      <c r="I257" s="200"/>
      <c r="J257" s="200"/>
      <c r="K257" s="200"/>
      <c r="L257" s="200"/>
      <c r="M257" s="200"/>
      <c r="N257" s="199"/>
      <c r="O257" s="199"/>
      <c r="P257" s="200"/>
      <c r="Q257" s="200"/>
      <c r="R257" s="200"/>
      <c r="S257" s="199"/>
      <c r="T257" s="200"/>
      <c r="U257" s="200"/>
      <c r="V257" s="200"/>
      <c r="W257" s="200"/>
      <c r="X257" s="200"/>
      <c r="Y257" s="200"/>
      <c r="Z257" s="200"/>
      <c r="AA257" s="200"/>
      <c r="AB257" s="200"/>
      <c r="AC257" s="200"/>
      <c r="AD257" s="200"/>
      <c r="AE257" s="200"/>
      <c r="AF257" s="200"/>
      <c r="AG257" s="200"/>
      <c r="AH257" s="200"/>
      <c r="AI257" s="200"/>
      <c r="AJ257" s="224"/>
      <c r="AK257" s="210"/>
      <c r="AL257" s="210"/>
    </row>
    <row r="258" spans="1:40" s="197" customFormat="1">
      <c r="A258" s="530" t="s">
        <v>334</v>
      </c>
      <c r="B258" s="530"/>
      <c r="C258" s="530"/>
      <c r="D258" s="530"/>
      <c r="E258" s="530"/>
      <c r="F258" s="530"/>
      <c r="G258" s="530"/>
      <c r="H258" s="530"/>
      <c r="I258" s="530"/>
      <c r="J258" s="530"/>
      <c r="K258" s="530"/>
      <c r="L258" s="530"/>
      <c r="M258" s="530"/>
      <c r="N258" s="530"/>
      <c r="O258" s="530"/>
      <c r="P258" s="530"/>
      <c r="Q258" s="530"/>
      <c r="R258" s="530"/>
      <c r="S258" s="530"/>
      <c r="T258" s="530"/>
      <c r="U258" s="530"/>
      <c r="V258" s="530"/>
      <c r="W258" s="530"/>
      <c r="X258" s="530"/>
      <c r="Y258" s="530"/>
      <c r="Z258" s="530"/>
      <c r="AA258" s="530"/>
      <c r="AB258" s="530"/>
      <c r="AC258" s="530"/>
      <c r="AD258" s="530"/>
      <c r="AE258" s="530"/>
      <c r="AF258" s="530"/>
      <c r="AG258" s="530"/>
      <c r="AH258" s="530"/>
      <c r="AI258" s="530"/>
      <c r="AJ258" s="224"/>
      <c r="AK258" s="210"/>
      <c r="AL258" s="210"/>
    </row>
    <row r="259" spans="1:40" s="197" customFormat="1">
      <c r="A259" s="200"/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0"/>
      <c r="M259" s="200"/>
      <c r="N259" s="199"/>
      <c r="O259" s="199"/>
      <c r="P259" s="200"/>
      <c r="Q259" s="200"/>
      <c r="R259" s="200"/>
      <c r="S259" s="199"/>
      <c r="T259" s="200"/>
      <c r="U259" s="200"/>
      <c r="V259" s="200"/>
      <c r="W259" s="200"/>
      <c r="X259" s="200"/>
      <c r="Y259" s="200"/>
      <c r="Z259" s="200"/>
      <c r="AA259" s="200"/>
      <c r="AB259" s="200"/>
      <c r="AC259" s="200"/>
      <c r="AD259" s="200"/>
      <c r="AE259" s="200"/>
      <c r="AF259" s="200"/>
      <c r="AG259" s="200"/>
      <c r="AH259" s="200"/>
      <c r="AI259" s="200"/>
      <c r="AJ259" s="226"/>
      <c r="AK259" s="210"/>
      <c r="AL259" s="210"/>
    </row>
    <row r="260" spans="1:40" s="197" customFormat="1">
      <c r="A260" s="200" t="s">
        <v>179</v>
      </c>
      <c r="B260" s="525">
        <f>B254</f>
        <v>2</v>
      </c>
      <c r="C260" s="525"/>
      <c r="D260" s="200" t="s">
        <v>332</v>
      </c>
      <c r="E260" s="200"/>
      <c r="F260" s="200"/>
      <c r="G260" s="200"/>
      <c r="H260" s="200"/>
      <c r="I260" s="200"/>
      <c r="J260" s="200"/>
      <c r="K260" s="200"/>
      <c r="L260" s="200"/>
      <c r="M260" s="200"/>
      <c r="N260" s="199"/>
      <c r="O260" s="199"/>
      <c r="P260" s="200"/>
      <c r="Q260" s="200"/>
      <c r="R260" s="200"/>
      <c r="S260" s="199"/>
      <c r="T260" s="200"/>
      <c r="U260" s="200"/>
      <c r="V260" s="200"/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/>
      <c r="AG260" s="200"/>
      <c r="AH260" s="200"/>
      <c r="AI260" s="200"/>
      <c r="AJ260" s="224"/>
      <c r="AK260" s="210"/>
      <c r="AL260" s="210"/>
    </row>
    <row r="261" spans="1:40" s="197" customFormat="1">
      <c r="A261" s="200"/>
      <c r="B261" s="200"/>
      <c r="C261" s="200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199"/>
      <c r="O261" s="199"/>
      <c r="P261" s="200"/>
      <c r="Q261" s="200"/>
      <c r="R261" s="200"/>
      <c r="S261" s="199"/>
      <c r="T261" s="200"/>
      <c r="U261" s="200"/>
      <c r="V261" s="200"/>
      <c r="W261" s="200"/>
      <c r="X261" s="200"/>
      <c r="Y261" s="200"/>
      <c r="Z261" s="200"/>
      <c r="AA261" s="200"/>
      <c r="AB261" s="200"/>
      <c r="AC261" s="200"/>
      <c r="AD261" s="200"/>
      <c r="AE261" s="200"/>
      <c r="AF261" s="200"/>
      <c r="AG261" s="200"/>
      <c r="AH261" s="200"/>
      <c r="AI261" s="200"/>
      <c r="AJ261" s="224"/>
      <c r="AK261" s="210"/>
      <c r="AL261" s="210"/>
    </row>
    <row r="262" spans="1:40" s="197" customFormat="1" ht="30" customHeight="1">
      <c r="A262" s="529" t="s">
        <v>419</v>
      </c>
      <c r="B262" s="529"/>
      <c r="C262" s="529"/>
      <c r="D262" s="529"/>
      <c r="E262" s="529"/>
      <c r="F262" s="529"/>
      <c r="G262" s="529"/>
      <c r="H262" s="529"/>
      <c r="I262" s="529"/>
      <c r="J262" s="529"/>
      <c r="K262" s="529"/>
      <c r="L262" s="529"/>
      <c r="M262" s="529"/>
      <c r="N262" s="529"/>
      <c r="O262" s="529"/>
      <c r="P262" s="529"/>
      <c r="Q262" s="529"/>
      <c r="R262" s="529"/>
      <c r="S262" s="529"/>
      <c r="T262" s="529"/>
      <c r="U262" s="529"/>
      <c r="V262" s="529"/>
      <c r="W262" s="529"/>
      <c r="X262" s="529"/>
      <c r="Y262" s="529"/>
      <c r="Z262" s="529"/>
      <c r="AA262" s="529"/>
      <c r="AB262" s="529"/>
      <c r="AC262" s="529"/>
      <c r="AD262" s="529"/>
      <c r="AE262" s="529"/>
      <c r="AF262" s="529"/>
      <c r="AG262" s="529"/>
      <c r="AH262" s="529"/>
      <c r="AI262" s="529"/>
      <c r="AJ262" s="224"/>
      <c r="AK262" s="210"/>
      <c r="AL262" s="210"/>
    </row>
    <row r="263" spans="1:40" s="197" customFormat="1">
      <c r="A263" s="200"/>
      <c r="B263" s="200"/>
      <c r="C263" s="200"/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199"/>
      <c r="O263" s="199"/>
      <c r="P263" s="200"/>
      <c r="Q263" s="200"/>
      <c r="R263" s="200"/>
      <c r="S263" s="199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/>
      <c r="AG263" s="200"/>
      <c r="AH263" s="200"/>
      <c r="AI263" s="200"/>
      <c r="AJ263" s="224"/>
      <c r="AK263" s="210"/>
      <c r="AL263" s="210"/>
    </row>
    <row r="264" spans="1:40" s="197" customFormat="1">
      <c r="A264" s="530" t="s">
        <v>331</v>
      </c>
      <c r="B264" s="530"/>
      <c r="C264" s="530"/>
      <c r="D264" s="530"/>
      <c r="E264" s="530"/>
      <c r="F264" s="530"/>
      <c r="G264" s="530"/>
      <c r="H264" s="530"/>
      <c r="I264" s="530"/>
      <c r="J264" s="530"/>
      <c r="K264" s="530"/>
      <c r="L264" s="530"/>
      <c r="M264" s="530"/>
      <c r="N264" s="530"/>
      <c r="O264" s="530"/>
      <c r="P264" s="530"/>
      <c r="Q264" s="530"/>
      <c r="R264" s="530"/>
      <c r="S264" s="530"/>
      <c r="T264" s="530"/>
      <c r="U264" s="530"/>
      <c r="V264" s="530"/>
      <c r="W264" s="530"/>
      <c r="X264" s="530"/>
      <c r="Y264" s="530"/>
      <c r="Z264" s="530"/>
      <c r="AA264" s="530"/>
      <c r="AB264" s="530"/>
      <c r="AC264" s="530"/>
      <c r="AD264" s="530"/>
      <c r="AE264" s="530"/>
      <c r="AF264" s="530"/>
      <c r="AG264" s="530"/>
      <c r="AH264" s="530"/>
      <c r="AI264" s="530"/>
      <c r="AJ264" s="224"/>
      <c r="AK264" s="210"/>
      <c r="AL264" s="210"/>
    </row>
    <row r="265" spans="1:40" s="197" customFormat="1">
      <c r="A265" s="200"/>
      <c r="B265" s="200"/>
      <c r="C265" s="200"/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199"/>
      <c r="O265" s="199"/>
      <c r="P265" s="200"/>
      <c r="Q265" s="200"/>
      <c r="R265" s="200"/>
      <c r="S265" s="199"/>
      <c r="T265" s="200"/>
      <c r="U265" s="200"/>
      <c r="V265" s="200"/>
      <c r="W265" s="200"/>
      <c r="X265" s="200"/>
      <c r="Y265" s="200"/>
      <c r="Z265" s="200"/>
      <c r="AA265" s="200"/>
      <c r="AB265" s="200"/>
      <c r="AC265" s="200"/>
      <c r="AD265" s="200"/>
      <c r="AE265" s="200"/>
      <c r="AF265" s="200"/>
      <c r="AG265" s="200"/>
      <c r="AH265" s="200"/>
      <c r="AI265" s="200"/>
      <c r="AJ265" s="224"/>
      <c r="AK265" s="210"/>
      <c r="AL265" s="210"/>
    </row>
    <row r="266" spans="1:40" s="197" customFormat="1">
      <c r="A266" s="200" t="s">
        <v>179</v>
      </c>
      <c r="B266" s="525">
        <f>1</f>
        <v>1</v>
      </c>
      <c r="C266" s="525"/>
      <c r="D266" s="200" t="s">
        <v>332</v>
      </c>
      <c r="E266" s="200"/>
      <c r="F266" s="200"/>
      <c r="G266" s="200"/>
      <c r="H266" s="200"/>
      <c r="I266" s="200"/>
      <c r="J266" s="200"/>
      <c r="K266" s="200"/>
      <c r="L266" s="200"/>
      <c r="M266" s="200"/>
      <c r="N266" s="199"/>
      <c r="O266" s="199"/>
      <c r="P266" s="200"/>
      <c r="Q266" s="200"/>
      <c r="R266" s="200"/>
      <c r="S266" s="199"/>
      <c r="T266" s="200"/>
      <c r="U266" s="200"/>
      <c r="V266" s="200"/>
      <c r="W266" s="200"/>
      <c r="X266" s="200"/>
      <c r="Y266" s="200"/>
      <c r="Z266" s="200"/>
      <c r="AA266" s="200"/>
      <c r="AB266" s="200"/>
      <c r="AC266" s="200"/>
      <c r="AD266" s="200"/>
      <c r="AE266" s="200"/>
      <c r="AF266" s="200"/>
      <c r="AG266" s="200"/>
      <c r="AH266" s="200"/>
      <c r="AI266" s="200"/>
      <c r="AJ266" s="224"/>
      <c r="AK266" s="210"/>
      <c r="AL266" s="210"/>
    </row>
    <row r="267" spans="1:40" s="197" customFormat="1">
      <c r="A267" s="200"/>
      <c r="B267" s="200"/>
      <c r="C267" s="200"/>
      <c r="D267" s="200"/>
      <c r="E267" s="200"/>
      <c r="F267" s="200"/>
      <c r="G267" s="200"/>
      <c r="H267" s="200"/>
      <c r="I267" s="200"/>
      <c r="J267" s="200"/>
      <c r="K267" s="200"/>
      <c r="L267" s="200"/>
      <c r="M267" s="200"/>
      <c r="N267" s="199"/>
      <c r="O267" s="199"/>
      <c r="P267" s="200"/>
      <c r="Q267" s="200"/>
      <c r="R267" s="200"/>
      <c r="S267" s="199"/>
      <c r="T267" s="200"/>
      <c r="U267" s="200"/>
      <c r="V267" s="200"/>
      <c r="W267" s="200"/>
      <c r="X267" s="200"/>
      <c r="Y267" s="200"/>
      <c r="Z267" s="200"/>
      <c r="AA267" s="200"/>
      <c r="AB267" s="200"/>
      <c r="AC267" s="200"/>
      <c r="AD267" s="200"/>
      <c r="AE267" s="200"/>
      <c r="AF267" s="200"/>
      <c r="AG267" s="200"/>
      <c r="AH267" s="200"/>
      <c r="AI267" s="200"/>
      <c r="AJ267" s="224"/>
      <c r="AK267" s="210"/>
      <c r="AL267" s="210"/>
    </row>
    <row r="268" spans="1:40" ht="15">
      <c r="A268" s="539" t="s">
        <v>367</v>
      </c>
      <c r="B268" s="540"/>
      <c r="C268" s="540"/>
      <c r="D268" s="540"/>
      <c r="E268" s="540"/>
      <c r="F268" s="540"/>
      <c r="G268" s="540"/>
      <c r="H268" s="540"/>
      <c r="I268" s="540"/>
      <c r="J268" s="540"/>
      <c r="K268" s="540"/>
      <c r="L268" s="540"/>
      <c r="M268" s="540"/>
      <c r="N268" s="540"/>
      <c r="O268" s="540"/>
      <c r="P268" s="540"/>
      <c r="Q268" s="540"/>
      <c r="R268" s="540"/>
      <c r="S268" s="540"/>
      <c r="T268" s="540"/>
      <c r="U268" s="540"/>
      <c r="V268" s="540"/>
      <c r="W268" s="540"/>
      <c r="X268" s="540"/>
      <c r="Y268" s="540"/>
      <c r="Z268" s="540"/>
      <c r="AA268" s="540"/>
      <c r="AB268" s="540"/>
      <c r="AC268" s="540"/>
      <c r="AD268" s="540"/>
      <c r="AE268" s="540"/>
      <c r="AF268" s="540"/>
      <c r="AG268" s="540"/>
      <c r="AH268" s="540"/>
      <c r="AI268" s="541"/>
      <c r="AJ268" s="201"/>
      <c r="AK268" s="202"/>
      <c r="AL268" s="202"/>
      <c r="AM268" s="203"/>
      <c r="AN268" s="203"/>
    </row>
    <row r="269" spans="1:40">
      <c r="AJ269" s="201"/>
      <c r="AK269" s="202"/>
      <c r="AL269" s="202"/>
      <c r="AM269" s="203"/>
      <c r="AN269" s="203"/>
    </row>
    <row r="270" spans="1:40" ht="15">
      <c r="A270" s="542" t="s">
        <v>430</v>
      </c>
      <c r="B270" s="542"/>
      <c r="C270" s="542"/>
      <c r="D270" s="542"/>
      <c r="E270" s="542"/>
      <c r="F270" s="542"/>
      <c r="G270" s="542"/>
      <c r="H270" s="542"/>
      <c r="I270" s="542"/>
      <c r="J270" s="542"/>
      <c r="K270" s="542"/>
      <c r="L270" s="542"/>
      <c r="M270" s="542"/>
      <c r="N270" s="542"/>
      <c r="O270" s="542"/>
      <c r="P270" s="542"/>
      <c r="Q270" s="542"/>
      <c r="R270" s="542"/>
      <c r="S270" s="542"/>
      <c r="T270" s="542"/>
      <c r="U270" s="542"/>
      <c r="V270" s="542"/>
      <c r="W270" s="542"/>
      <c r="X270" s="542"/>
      <c r="Y270" s="542"/>
      <c r="Z270" s="542"/>
      <c r="AA270" s="542"/>
      <c r="AB270" s="542"/>
      <c r="AC270" s="542"/>
      <c r="AD270" s="542"/>
      <c r="AE270" s="542"/>
      <c r="AF270" s="542"/>
      <c r="AG270" s="542"/>
      <c r="AH270" s="542"/>
      <c r="AI270" s="542"/>
    </row>
    <row r="272" spans="1:40">
      <c r="A272" s="530" t="s">
        <v>360</v>
      </c>
      <c r="B272" s="530"/>
      <c r="C272" s="530"/>
      <c r="D272" s="530"/>
      <c r="E272" s="530"/>
      <c r="F272" s="530"/>
      <c r="G272" s="530"/>
      <c r="H272" s="530"/>
      <c r="I272" s="530"/>
      <c r="J272" s="530"/>
      <c r="K272" s="530"/>
      <c r="L272" s="530"/>
      <c r="M272" s="530"/>
      <c r="N272" s="530"/>
      <c r="O272" s="530"/>
      <c r="P272" s="530"/>
      <c r="Q272" s="530"/>
      <c r="R272" s="530"/>
      <c r="S272" s="530"/>
      <c r="T272" s="530"/>
      <c r="U272" s="530"/>
      <c r="V272" s="530"/>
      <c r="W272" s="530"/>
      <c r="X272" s="530"/>
      <c r="Y272" s="530"/>
      <c r="Z272" s="530"/>
      <c r="AA272" s="530"/>
      <c r="AB272" s="530"/>
      <c r="AC272" s="530"/>
      <c r="AD272" s="530"/>
      <c r="AE272" s="530"/>
      <c r="AF272" s="530"/>
      <c r="AG272" s="530"/>
      <c r="AH272" s="530"/>
      <c r="AI272" s="530"/>
    </row>
    <row r="274" spans="1:5">
      <c r="A274" s="200" t="s">
        <v>230</v>
      </c>
      <c r="B274" s="543">
        <f>B77</f>
        <v>1276.79</v>
      </c>
      <c r="C274" s="530"/>
      <c r="D274" s="530"/>
      <c r="E274" s="200" t="s">
        <v>85</v>
      </c>
    </row>
  </sheetData>
  <mergeCells count="384">
    <mergeCell ref="E68:F68"/>
    <mergeCell ref="E76:F76"/>
    <mergeCell ref="J150:K150"/>
    <mergeCell ref="L150:M150"/>
    <mergeCell ref="N150:O150"/>
    <mergeCell ref="H145:I145"/>
    <mergeCell ref="J145:K145"/>
    <mergeCell ref="L145:M145"/>
    <mergeCell ref="N145:O145"/>
    <mergeCell ref="H146:I146"/>
    <mergeCell ref="J146:K146"/>
    <mergeCell ref="L146:M146"/>
    <mergeCell ref="N146:O146"/>
    <mergeCell ref="H147:I147"/>
    <mergeCell ref="J147:K147"/>
    <mergeCell ref="L147:M147"/>
    <mergeCell ref="N147:O147"/>
    <mergeCell ref="H148:I148"/>
    <mergeCell ref="J148:K148"/>
    <mergeCell ref="L148:M148"/>
    <mergeCell ref="N148:O148"/>
    <mergeCell ref="H149:I149"/>
    <mergeCell ref="J149:K149"/>
    <mergeCell ref="L149:M149"/>
    <mergeCell ref="N149:O149"/>
    <mergeCell ref="H150:I150"/>
    <mergeCell ref="A145:D145"/>
    <mergeCell ref="A146:D146"/>
    <mergeCell ref="A147:D147"/>
    <mergeCell ref="A148:D148"/>
    <mergeCell ref="A149:D149"/>
    <mergeCell ref="A150:D150"/>
    <mergeCell ref="F145:G145"/>
    <mergeCell ref="F146:G146"/>
    <mergeCell ref="F147:G147"/>
    <mergeCell ref="F148:G148"/>
    <mergeCell ref="F149:G149"/>
    <mergeCell ref="F150:G150"/>
    <mergeCell ref="P107:Q107"/>
    <mergeCell ref="S107:T107"/>
    <mergeCell ref="F97:G97"/>
    <mergeCell ref="A120:D120"/>
    <mergeCell ref="A121:D121"/>
    <mergeCell ref="H120:I120"/>
    <mergeCell ref="J120:K120"/>
    <mergeCell ref="L120:M120"/>
    <mergeCell ref="N120:O120"/>
    <mergeCell ref="N121:O121"/>
    <mergeCell ref="A97:D97"/>
    <mergeCell ref="A98:D98"/>
    <mergeCell ref="F98:G98"/>
    <mergeCell ref="A99:D99"/>
    <mergeCell ref="F99:G99"/>
    <mergeCell ref="A103:AI103"/>
    <mergeCell ref="B109:D109"/>
    <mergeCell ref="A105:AI105"/>
    <mergeCell ref="F120:G120"/>
    <mergeCell ref="F121:G121"/>
    <mergeCell ref="H121:I121"/>
    <mergeCell ref="J121:K121"/>
    <mergeCell ref="L121:M121"/>
    <mergeCell ref="B107:D107"/>
    <mergeCell ref="Q130:R130"/>
    <mergeCell ref="I126:J126"/>
    <mergeCell ref="K126:L126"/>
    <mergeCell ref="A129:D129"/>
    <mergeCell ref="F129:G129"/>
    <mergeCell ref="H129:I129"/>
    <mergeCell ref="J129:K129"/>
    <mergeCell ref="L129:M129"/>
    <mergeCell ref="N129:O129"/>
    <mergeCell ref="C126:D126"/>
    <mergeCell ref="E126:F126"/>
    <mergeCell ref="G126:H126"/>
    <mergeCell ref="N123:O123"/>
    <mergeCell ref="H124:I124"/>
    <mergeCell ref="J124:K124"/>
    <mergeCell ref="L124:M124"/>
    <mergeCell ref="N124:O124"/>
    <mergeCell ref="H125:I125"/>
    <mergeCell ref="J125:K125"/>
    <mergeCell ref="L125:M125"/>
    <mergeCell ref="N125:O125"/>
    <mergeCell ref="H123:I123"/>
    <mergeCell ref="J123:K123"/>
    <mergeCell ref="F131:G131"/>
    <mergeCell ref="H131:I131"/>
    <mergeCell ref="J131:K131"/>
    <mergeCell ref="L131:M131"/>
    <mergeCell ref="N131:O131"/>
    <mergeCell ref="F130:G130"/>
    <mergeCell ref="H130:I130"/>
    <mergeCell ref="J130:K130"/>
    <mergeCell ref="L130:M130"/>
    <mergeCell ref="N130:O130"/>
    <mergeCell ref="F122:G122"/>
    <mergeCell ref="F123:G123"/>
    <mergeCell ref="F124:G124"/>
    <mergeCell ref="F125:G125"/>
    <mergeCell ref="H122:I122"/>
    <mergeCell ref="J122:K122"/>
    <mergeCell ref="L122:M122"/>
    <mergeCell ref="L123:M123"/>
    <mergeCell ref="A123:D123"/>
    <mergeCell ref="A124:D124"/>
    <mergeCell ref="A125:D125"/>
    <mergeCell ref="A195:AI195"/>
    <mergeCell ref="AJ90:AK90"/>
    <mergeCell ref="A119:D119"/>
    <mergeCell ref="F119:G119"/>
    <mergeCell ref="H119:I119"/>
    <mergeCell ref="J119:K119"/>
    <mergeCell ref="L119:M119"/>
    <mergeCell ref="N119:O119"/>
    <mergeCell ref="H118:I118"/>
    <mergeCell ref="J118:K118"/>
    <mergeCell ref="L118:M118"/>
    <mergeCell ref="N118:O118"/>
    <mergeCell ref="A116:AI116"/>
    <mergeCell ref="A92:D92"/>
    <mergeCell ref="F92:G92"/>
    <mergeCell ref="A93:D93"/>
    <mergeCell ref="F93:G93"/>
    <mergeCell ref="A94:D94"/>
    <mergeCell ref="F94:G94"/>
    <mergeCell ref="A95:D95"/>
    <mergeCell ref="F95:G95"/>
    <mergeCell ref="A96:D96"/>
    <mergeCell ref="F96:G96"/>
    <mergeCell ref="G107:H107"/>
    <mergeCell ref="AJ105:AK105"/>
    <mergeCell ref="A163:AI163"/>
    <mergeCell ref="A270:AI270"/>
    <mergeCell ref="A272:AI272"/>
    <mergeCell ref="B274:D274"/>
    <mergeCell ref="A165:AI165"/>
    <mergeCell ref="C167:D167"/>
    <mergeCell ref="K167:L167"/>
    <mergeCell ref="B168:D168"/>
    <mergeCell ref="A170:AI170"/>
    <mergeCell ref="B181:C181"/>
    <mergeCell ref="A268:AI268"/>
    <mergeCell ref="H167:I167"/>
    <mergeCell ref="A187:AI187"/>
    <mergeCell ref="A189:AI189"/>
    <mergeCell ref="A191:F191"/>
    <mergeCell ref="G191:H191"/>
    <mergeCell ref="J191:K191"/>
    <mergeCell ref="L191:M191"/>
    <mergeCell ref="N191:O191"/>
    <mergeCell ref="G176:H176"/>
    <mergeCell ref="A172:AI173"/>
    <mergeCell ref="A185:AI185"/>
    <mergeCell ref="B176:C176"/>
    <mergeCell ref="C193:D193"/>
    <mergeCell ref="B101:D101"/>
    <mergeCell ref="AM83:AN83"/>
    <mergeCell ref="N144:O144"/>
    <mergeCell ref="D181:E181"/>
    <mergeCell ref="C183:D183"/>
    <mergeCell ref="B177:C177"/>
    <mergeCell ref="D177:E177"/>
    <mergeCell ref="B180:C180"/>
    <mergeCell ref="G180:H180"/>
    <mergeCell ref="L144:M144"/>
    <mergeCell ref="A144:D144"/>
    <mergeCell ref="A118:D118"/>
    <mergeCell ref="F118:G118"/>
    <mergeCell ref="F144:G144"/>
    <mergeCell ref="H144:I144"/>
    <mergeCell ref="J144:K144"/>
    <mergeCell ref="A135:AI135"/>
    <mergeCell ref="B137:C137"/>
    <mergeCell ref="D137:E137"/>
    <mergeCell ref="A139:AI139"/>
    <mergeCell ref="AJ83:AK83"/>
    <mergeCell ref="C161:D161"/>
    <mergeCell ref="AJ180:AK180"/>
    <mergeCell ref="AJ174:AK174"/>
    <mergeCell ref="B51:C51"/>
    <mergeCell ref="D51:E51"/>
    <mergeCell ref="A54:AI54"/>
    <mergeCell ref="A159:D159"/>
    <mergeCell ref="N159:O159"/>
    <mergeCell ref="E158:F158"/>
    <mergeCell ref="H158:I158"/>
    <mergeCell ref="J158:K158"/>
    <mergeCell ref="L158:M158"/>
    <mergeCell ref="B58:C58"/>
    <mergeCell ref="D58:E58"/>
    <mergeCell ref="A61:AI61"/>
    <mergeCell ref="B75:C75"/>
    <mergeCell ref="K75:L75"/>
    <mergeCell ref="O75:P75"/>
    <mergeCell ref="A71:AI71"/>
    <mergeCell ref="A73:AI73"/>
    <mergeCell ref="G75:H75"/>
    <mergeCell ref="A143:D143"/>
    <mergeCell ref="F143:G143"/>
    <mergeCell ref="H143:I143"/>
    <mergeCell ref="J143:K143"/>
    <mergeCell ref="L143:M143"/>
    <mergeCell ref="A15:AI15"/>
    <mergeCell ref="B16:C16"/>
    <mergeCell ref="G16:H16"/>
    <mergeCell ref="C18:E18"/>
    <mergeCell ref="D37:E37"/>
    <mergeCell ref="A40:AI40"/>
    <mergeCell ref="A42:AI42"/>
    <mergeCell ref="B44:C44"/>
    <mergeCell ref="D44:E44"/>
    <mergeCell ref="A26:AI26"/>
    <mergeCell ref="A28:AI28"/>
    <mergeCell ref="B30:C30"/>
    <mergeCell ref="D30:E30"/>
    <mergeCell ref="A33:AI33"/>
    <mergeCell ref="A20:AI20"/>
    <mergeCell ref="A22:AI22"/>
    <mergeCell ref="B24:C24"/>
    <mergeCell ref="E17:F17"/>
    <mergeCell ref="A35:AI35"/>
    <mergeCell ref="B37:C37"/>
    <mergeCell ref="A2:AI2"/>
    <mergeCell ref="A4:AI4"/>
    <mergeCell ref="A6:AI6"/>
    <mergeCell ref="A8:AI8"/>
    <mergeCell ref="B10:C10"/>
    <mergeCell ref="F10:G10"/>
    <mergeCell ref="J10:K10"/>
    <mergeCell ref="A12:AI12"/>
    <mergeCell ref="A14:AI14"/>
    <mergeCell ref="A56:AI56"/>
    <mergeCell ref="S154:U154"/>
    <mergeCell ref="A82:AI82"/>
    <mergeCell ref="A47:AI47"/>
    <mergeCell ref="A49:AI49"/>
    <mergeCell ref="A63:AI63"/>
    <mergeCell ref="A65:AI65"/>
    <mergeCell ref="A66:AI66"/>
    <mergeCell ref="B67:C67"/>
    <mergeCell ref="G67:H67"/>
    <mergeCell ref="B69:D69"/>
    <mergeCell ref="A153:D153"/>
    <mergeCell ref="F153:G153"/>
    <mergeCell ref="N153:O153"/>
    <mergeCell ref="A154:D154"/>
    <mergeCell ref="F154:G154"/>
    <mergeCell ref="N154:O154"/>
    <mergeCell ref="H154:I154"/>
    <mergeCell ref="J154:K154"/>
    <mergeCell ref="L154:M154"/>
    <mergeCell ref="A90:AI90"/>
    <mergeCell ref="N143:O143"/>
    <mergeCell ref="N122:O122"/>
    <mergeCell ref="L107:M107"/>
    <mergeCell ref="L159:M159"/>
    <mergeCell ref="B77:D77"/>
    <mergeCell ref="A79:AI79"/>
    <mergeCell ref="A81:AI81"/>
    <mergeCell ref="F159:G159"/>
    <mergeCell ref="H159:I159"/>
    <mergeCell ref="J159:K159"/>
    <mergeCell ref="A122:D122"/>
    <mergeCell ref="A84:D84"/>
    <mergeCell ref="F84:G84"/>
    <mergeCell ref="A85:D85"/>
    <mergeCell ref="F85:G85"/>
    <mergeCell ref="F87:G87"/>
    <mergeCell ref="A111:AI111"/>
    <mergeCell ref="A113:AI113"/>
    <mergeCell ref="A114:AI114"/>
    <mergeCell ref="A133:AI133"/>
    <mergeCell ref="F155:G155"/>
    <mergeCell ref="I155:J155"/>
    <mergeCell ref="L155:M155"/>
    <mergeCell ref="H153:I153"/>
    <mergeCell ref="J153:K153"/>
    <mergeCell ref="L153:M153"/>
    <mergeCell ref="A88:AI88"/>
    <mergeCell ref="A197:AI197"/>
    <mergeCell ref="G199:H199"/>
    <mergeCell ref="J199:K199"/>
    <mergeCell ref="N199:O199"/>
    <mergeCell ref="R199:S199"/>
    <mergeCell ref="V199:W199"/>
    <mergeCell ref="A200:F200"/>
    <mergeCell ref="G200:H200"/>
    <mergeCell ref="J200:K200"/>
    <mergeCell ref="L200:M200"/>
    <mergeCell ref="N200:O200"/>
    <mergeCell ref="P200:Q200"/>
    <mergeCell ref="R200:S200"/>
    <mergeCell ref="T200:U200"/>
    <mergeCell ref="V200:W200"/>
    <mergeCell ref="G201:H201"/>
    <mergeCell ref="J201:K201"/>
    <mergeCell ref="L201:M201"/>
    <mergeCell ref="N201:O201"/>
    <mergeCell ref="P201:Q201"/>
    <mergeCell ref="R201:S201"/>
    <mergeCell ref="T201:U201"/>
    <mergeCell ref="V201:W201"/>
    <mergeCell ref="C203:D203"/>
    <mergeCell ref="A205:AI205"/>
    <mergeCell ref="G207:H207"/>
    <mergeCell ref="J207:K207"/>
    <mergeCell ref="N207:O207"/>
    <mergeCell ref="R207:S207"/>
    <mergeCell ref="A208:F208"/>
    <mergeCell ref="G208:H208"/>
    <mergeCell ref="J208:K208"/>
    <mergeCell ref="L208:M208"/>
    <mergeCell ref="N208:O208"/>
    <mergeCell ref="P208:Q208"/>
    <mergeCell ref="R208:S208"/>
    <mergeCell ref="G209:H209"/>
    <mergeCell ref="J209:K209"/>
    <mergeCell ref="L209:M209"/>
    <mergeCell ref="N209:O209"/>
    <mergeCell ref="P209:Q209"/>
    <mergeCell ref="R209:S209"/>
    <mergeCell ref="C211:D211"/>
    <mergeCell ref="A213:AI213"/>
    <mergeCell ref="A215:AI215"/>
    <mergeCell ref="A218:F218"/>
    <mergeCell ref="G218:H218"/>
    <mergeCell ref="J218:K218"/>
    <mergeCell ref="L218:M218"/>
    <mergeCell ref="N218:O218"/>
    <mergeCell ref="P218:Q218"/>
    <mergeCell ref="R218:S218"/>
    <mergeCell ref="T218:U218"/>
    <mergeCell ref="V218:W218"/>
    <mergeCell ref="P244:Q244"/>
    <mergeCell ref="R244:S244"/>
    <mergeCell ref="T244:U244"/>
    <mergeCell ref="V244:W244"/>
    <mergeCell ref="G217:H217"/>
    <mergeCell ref="J217:K217"/>
    <mergeCell ref="N217:O217"/>
    <mergeCell ref="R217:S217"/>
    <mergeCell ref="V217:W217"/>
    <mergeCell ref="C220:D220"/>
    <mergeCell ref="A224:AI224"/>
    <mergeCell ref="A222:AI222"/>
    <mergeCell ref="A226:F226"/>
    <mergeCell ref="G226:H226"/>
    <mergeCell ref="A228:B228"/>
    <mergeCell ref="C228:D228"/>
    <mergeCell ref="A230:AI230"/>
    <mergeCell ref="A232:AI232"/>
    <mergeCell ref="A264:AI264"/>
    <mergeCell ref="B266:C266"/>
    <mergeCell ref="A244:F244"/>
    <mergeCell ref="G244:H244"/>
    <mergeCell ref="J244:K244"/>
    <mergeCell ref="L244:M244"/>
    <mergeCell ref="A234:F234"/>
    <mergeCell ref="G234:H234"/>
    <mergeCell ref="A238:F238"/>
    <mergeCell ref="G238:H238"/>
    <mergeCell ref="A240:F240"/>
    <mergeCell ref="G240:H240"/>
    <mergeCell ref="J240:K240"/>
    <mergeCell ref="A241:F241"/>
    <mergeCell ref="G241:H241"/>
    <mergeCell ref="J241:K241"/>
    <mergeCell ref="L241:M241"/>
    <mergeCell ref="N241:O241"/>
    <mergeCell ref="A243:F243"/>
    <mergeCell ref="G243:H243"/>
    <mergeCell ref="J243:K243"/>
    <mergeCell ref="N243:O243"/>
    <mergeCell ref="R243:S243"/>
    <mergeCell ref="N244:O244"/>
    <mergeCell ref="A250:AI250"/>
    <mergeCell ref="D246:E246"/>
    <mergeCell ref="B248:D248"/>
    <mergeCell ref="A252:AI252"/>
    <mergeCell ref="B254:C254"/>
    <mergeCell ref="A256:AI256"/>
    <mergeCell ref="A258:AI258"/>
    <mergeCell ref="B260:C260"/>
    <mergeCell ref="A262:AI262"/>
  </mergeCells>
  <printOptions horizontalCentered="1"/>
  <pageMargins left="0.25" right="0.25" top="0.75" bottom="0.75" header="0.3" footer="0.3"/>
  <pageSetup paperSize="9" scale="67" orientation="portrait" horizontalDpi="4294967293" verticalDpi="4294967293" r:id="rId1"/>
  <rowBreaks count="3" manualBreakCount="3">
    <brk id="110" max="34" man="1"/>
    <brk id="184" max="34" man="1"/>
    <brk id="255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ilha7">
    <tabColor rgb="FF00B050"/>
  </sheetPr>
  <dimension ref="B1:AG57"/>
  <sheetViews>
    <sheetView view="pageBreakPreview" topLeftCell="A49" zoomScaleSheetLayoutView="100" workbookViewId="0">
      <selection activeCell="G44" sqref="G44"/>
    </sheetView>
  </sheetViews>
  <sheetFormatPr defaultColWidth="9.140625" defaultRowHeight="14.25"/>
  <cols>
    <col min="1" max="1" width="2.28515625" style="157" customWidth="1"/>
    <col min="2" max="2" width="13.85546875" style="234" customWidth="1"/>
    <col min="3" max="3" width="12.85546875" style="234" customWidth="1"/>
    <col min="4" max="4" width="9.140625" style="234"/>
    <col min="5" max="5" width="60.7109375" style="157" customWidth="1"/>
    <col min="6" max="6" width="9.140625" style="234"/>
    <col min="7" max="7" width="9.85546875" style="235" bestFit="1" customWidth="1"/>
    <col min="8" max="8" width="9.140625" style="235"/>
    <col min="9" max="9" width="11.7109375" style="235" customWidth="1"/>
    <col min="10" max="10" width="9.140625" style="157"/>
    <col min="11" max="11" width="9.140625" style="160"/>
    <col min="12" max="12" width="9.140625" style="157"/>
    <col min="13" max="13" width="10.140625" style="157" bestFit="1" customWidth="1"/>
    <col min="14" max="16384" width="9.140625" style="157"/>
  </cols>
  <sheetData>
    <row r="1" spans="2:11" s="153" customFormat="1" ht="21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.75" customHeight="1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233"/>
      <c r="F8" s="233"/>
      <c r="G8" s="233"/>
      <c r="H8" s="233"/>
      <c r="I8" s="233"/>
    </row>
    <row r="9" spans="2:11" ht="15" customHeight="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 ht="15" customHeight="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5.75" customHeight="1">
      <c r="B11" s="158" t="s">
        <v>121</v>
      </c>
      <c r="C11" s="159" t="str">
        <f>'RUA 1'!C11</f>
        <v>1054116-72</v>
      </c>
      <c r="D11" s="194"/>
      <c r="E11" s="194"/>
      <c r="F11" s="194"/>
      <c r="G11" s="194"/>
      <c r="H11" s="194"/>
      <c r="I11" s="194"/>
    </row>
    <row r="12" spans="2:11" ht="15" customHeight="1">
      <c r="B12" s="158" t="s">
        <v>122</v>
      </c>
      <c r="C12" s="515" t="str">
        <f>'RUA 1'!C12:I12</f>
        <v>Pavimentação de diversas ruas no município de Itapororoca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3'!A2</f>
        <v>Rua Julia Ferreira da Silva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s="355" customFormat="1" ht="28.5" customHeight="1">
      <c r="B15" s="521" t="s">
        <v>125</v>
      </c>
      <c r="C15" s="521"/>
      <c r="D15" s="522" t="s">
        <v>376</v>
      </c>
      <c r="E15" s="522"/>
      <c r="F15" s="522"/>
      <c r="G15" s="522"/>
      <c r="H15" s="357" t="s">
        <v>126</v>
      </c>
      <c r="I15" s="358">
        <f>BDI!B14</f>
        <v>0.2203</v>
      </c>
      <c r="K15" s="359"/>
    </row>
    <row r="17" spans="2:11" ht="15">
      <c r="B17" s="518" t="s">
        <v>127</v>
      </c>
      <c r="C17" s="518" t="s">
        <v>52</v>
      </c>
      <c r="D17" s="518" t="s">
        <v>46</v>
      </c>
      <c r="E17" s="518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1" ht="15">
      <c r="B18" s="518"/>
      <c r="C18" s="518"/>
      <c r="D18" s="518"/>
      <c r="E18" s="518"/>
      <c r="F18" s="518"/>
      <c r="G18" s="519"/>
      <c r="H18" s="239" t="s">
        <v>132</v>
      </c>
      <c r="I18" s="239" t="s">
        <v>133</v>
      </c>
    </row>
    <row r="20" spans="2:11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807.22</v>
      </c>
    </row>
    <row r="21" spans="2:11">
      <c r="B21" s="176" t="s">
        <v>136</v>
      </c>
      <c r="C21" s="176" t="s">
        <v>137</v>
      </c>
      <c r="D21" s="176" t="s">
        <v>138</v>
      </c>
      <c r="E21" s="360" t="s">
        <v>231</v>
      </c>
      <c r="F21" s="176" t="s">
        <v>85</v>
      </c>
      <c r="G21" s="361">
        <f>'MEMORIAL 3'!J10</f>
        <v>0</v>
      </c>
      <c r="H21" s="361">
        <f>ROUND(K21+(K21*$I$15),2)</f>
        <v>381.08</v>
      </c>
      <c r="I21" s="361">
        <f>ROUND(G21*H21,2)</f>
        <v>0</v>
      </c>
      <c r="K21" s="160">
        <f>'RUA 1'!K21</f>
        <v>312.27999999999997</v>
      </c>
    </row>
    <row r="22" spans="2:11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3'!C19</f>
        <v>1715.13</v>
      </c>
      <c r="H22" s="361">
        <f>ROUND(K22+(K22*$I$15),2)</f>
        <v>0.35</v>
      </c>
      <c r="I22" s="361">
        <f>ROUND(G22*H22,2)</f>
        <v>600.29999999999995</v>
      </c>
      <c r="K22" s="160">
        <v>0.28999999999999998</v>
      </c>
    </row>
    <row r="23" spans="2:11" ht="28.5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3'!B25</f>
        <v>2</v>
      </c>
      <c r="H23" s="361">
        <f>ROUND(K23+(K23*$I$15),2)</f>
        <v>103.46</v>
      </c>
      <c r="I23" s="361">
        <f>ROUND(G23*H23,2)</f>
        <v>206.92</v>
      </c>
      <c r="K23" s="160">
        <f>'RUA 1'!K23</f>
        <v>84.78</v>
      </c>
    </row>
    <row r="24" spans="2:11">
      <c r="B24" s="524"/>
      <c r="C24" s="524"/>
      <c r="D24" s="524"/>
      <c r="E24" s="524"/>
      <c r="F24" s="524"/>
      <c r="G24" s="524"/>
      <c r="H24" s="524"/>
      <c r="I24" s="524"/>
    </row>
    <row r="26" spans="2:11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138241.54</v>
      </c>
    </row>
    <row r="27" spans="2:11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3'!B70</f>
        <v>1715.13</v>
      </c>
      <c r="H27" s="361">
        <f>ROUND(K27+(K27*$I$15),2)</f>
        <v>1.43</v>
      </c>
      <c r="I27" s="361">
        <f t="shared" ref="I27:I35" si="0">ROUND(G27*H27,2)</f>
        <v>2452.64</v>
      </c>
      <c r="K27" s="160">
        <v>1.17</v>
      </c>
    </row>
    <row r="28" spans="2:11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ROUND('MEMORIAL 3'!B79,2)</f>
        <v>1715.13</v>
      </c>
      <c r="H28" s="361">
        <f>ROUND(K28+(K28*$I$15),2)</f>
        <v>50.13</v>
      </c>
      <c r="I28" s="361">
        <f t="shared" si="0"/>
        <v>85979.47</v>
      </c>
      <c r="K28" s="160">
        <f>'RUA 1'!K28</f>
        <v>41.08</v>
      </c>
    </row>
    <row r="29" spans="2:11">
      <c r="B29" s="176" t="s">
        <v>149</v>
      </c>
      <c r="C29" s="176" t="s">
        <v>150</v>
      </c>
      <c r="D29" s="176" t="s">
        <v>151</v>
      </c>
      <c r="E29" s="362" t="s">
        <v>369</v>
      </c>
      <c r="F29" s="242" t="s">
        <v>148</v>
      </c>
      <c r="G29" s="363">
        <f>'MEMORIAL 3'!F91</f>
        <v>562.92999999999995</v>
      </c>
      <c r="H29" s="363">
        <f t="shared" ref="H29:H35" si="1">ROUND(K29+(K29*$I$15),2)</f>
        <v>15.49</v>
      </c>
      <c r="I29" s="363">
        <f t="shared" si="0"/>
        <v>8719.7900000000009</v>
      </c>
      <c r="K29" s="160">
        <f>'RUA 1'!K29</f>
        <v>12.69</v>
      </c>
    </row>
    <row r="30" spans="2:11" ht="28.5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3'!B98</f>
        <v>17.399999999999999</v>
      </c>
      <c r="H30" s="361">
        <f t="shared" si="1"/>
        <v>15.49</v>
      </c>
      <c r="I30" s="361">
        <f t="shared" si="0"/>
        <v>269.52999999999997</v>
      </c>
      <c r="K30" s="160">
        <f>'RUA 1'!K30</f>
        <v>12.69</v>
      </c>
    </row>
    <row r="31" spans="2:11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3'!N114</f>
        <v>381.1</v>
      </c>
      <c r="H31" s="361">
        <f t="shared" si="1"/>
        <v>61.73</v>
      </c>
      <c r="I31" s="361">
        <f t="shared" si="0"/>
        <v>23525.3</v>
      </c>
      <c r="K31" s="160">
        <f>'RUA 1'!K31</f>
        <v>50.59</v>
      </c>
    </row>
    <row r="32" spans="2:11" ht="42.75">
      <c r="B32" s="176" t="s">
        <v>145</v>
      </c>
      <c r="C32" s="380" t="s">
        <v>364</v>
      </c>
      <c r="D32" s="176" t="s">
        <v>157</v>
      </c>
      <c r="E32" s="360" t="s">
        <v>156</v>
      </c>
      <c r="F32" s="176" t="s">
        <v>102</v>
      </c>
      <c r="G32" s="361">
        <f>ROUND('MEMORIAL 3'!B120,2)</f>
        <v>10</v>
      </c>
      <c r="H32" s="361">
        <f t="shared" si="1"/>
        <v>677.88</v>
      </c>
      <c r="I32" s="361">
        <f t="shared" si="0"/>
        <v>6778.8</v>
      </c>
      <c r="K32" s="160">
        <f>COMP!K72</f>
        <v>555.5</v>
      </c>
    </row>
    <row r="33" spans="2:33" ht="57" customHeight="1">
      <c r="B33" s="176" t="s">
        <v>145</v>
      </c>
      <c r="C33" s="380" t="s">
        <v>421</v>
      </c>
      <c r="D33" s="176" t="s">
        <v>159</v>
      </c>
      <c r="E33" s="360" t="str">
        <f>'RUA 1'!E33</f>
        <v>Piso tátil direcional e/ou alerta, de concreto, colorido, p/deficientes visuais, dimensões 25x25cm, aplicado com argamassa industrializada AC-II, rejuntado, exclusive regularização de base</v>
      </c>
      <c r="F33" s="176" t="s">
        <v>85</v>
      </c>
      <c r="G33" s="361">
        <f>'MEMORIAL 3'!C143</f>
        <v>120.73</v>
      </c>
      <c r="H33" s="361">
        <f t="shared" si="1"/>
        <v>82.39</v>
      </c>
      <c r="I33" s="361">
        <f t="shared" si="0"/>
        <v>9946.94</v>
      </c>
      <c r="K33" s="160">
        <f>COMP!K439</f>
        <v>67.52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3'!B150,2)</f>
        <v>168.88</v>
      </c>
      <c r="H34" s="361">
        <f t="shared" si="1"/>
        <v>1.04</v>
      </c>
      <c r="I34" s="361">
        <f t="shared" si="0"/>
        <v>175.64</v>
      </c>
      <c r="K34" s="160">
        <f>'RUA 1'!K34</f>
        <v>0.85</v>
      </c>
    </row>
    <row r="35" spans="2:33" ht="30" customHeight="1">
      <c r="B35" s="176" t="s">
        <v>161</v>
      </c>
      <c r="C35" s="364" t="s">
        <v>162</v>
      </c>
      <c r="D35" s="176" t="s">
        <v>365</v>
      </c>
      <c r="E35" s="362" t="s">
        <v>164</v>
      </c>
      <c r="F35" s="242" t="s">
        <v>85</v>
      </c>
      <c r="G35" s="361">
        <f>ROUND('MEMORIAL 3'!C166,2)</f>
        <v>1.24</v>
      </c>
      <c r="H35" s="361">
        <f t="shared" si="1"/>
        <v>317.27999999999997</v>
      </c>
      <c r="I35" s="361">
        <f t="shared" si="0"/>
        <v>393.43</v>
      </c>
      <c r="K35" s="160">
        <f>'RUA 1'!K35</f>
        <v>260</v>
      </c>
    </row>
    <row r="36" spans="2:33">
      <c r="B36" s="562"/>
      <c r="C36" s="563"/>
      <c r="D36" s="563"/>
      <c r="E36" s="563"/>
      <c r="F36" s="563"/>
      <c r="G36" s="563"/>
      <c r="H36" s="563"/>
      <c r="I36" s="564"/>
    </row>
    <row r="37" spans="2:33" customFormat="1" ht="15"/>
    <row r="38" spans="2:33" s="197" customFormat="1" ht="15">
      <c r="B38" s="238" t="s">
        <v>127</v>
      </c>
      <c r="C38" s="238" t="s">
        <v>52</v>
      </c>
      <c r="D38" s="238" t="s">
        <v>165</v>
      </c>
      <c r="E38" s="523" t="s">
        <v>309</v>
      </c>
      <c r="F38" s="523"/>
      <c r="G38" s="523"/>
      <c r="H38" s="523"/>
      <c r="I38" s="239">
        <f>SUM(I39:I47)</f>
        <v>16948.150000000001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 s="197" customFormat="1">
      <c r="B39" s="376" t="s">
        <v>136</v>
      </c>
      <c r="C39" s="376">
        <v>73610</v>
      </c>
      <c r="D39" s="376" t="s">
        <v>167</v>
      </c>
      <c r="E39" s="377" t="s">
        <v>256</v>
      </c>
      <c r="F39" s="376" t="s">
        <v>148</v>
      </c>
      <c r="G39" s="378">
        <f>'MEMORIAL 3'!C176</f>
        <v>41.6</v>
      </c>
      <c r="H39" s="378">
        <f>ROUND(K39+(K39*$I$15),2)</f>
        <v>1.06</v>
      </c>
      <c r="I39" s="378">
        <f>ROUNDDOWN(G39*H39,2)</f>
        <v>44.09</v>
      </c>
      <c r="K39" s="210">
        <f>'RUA 1'!K39</f>
        <v>0.87</v>
      </c>
      <c r="L39" s="20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40"/>
      <c r="AD39" s="224"/>
      <c r="AE39" s="224"/>
      <c r="AF39" s="240"/>
      <c r="AG39" s="240"/>
    </row>
    <row r="40" spans="2:33" s="197" customFormat="1" ht="71.25" customHeight="1">
      <c r="B40" s="176" t="s">
        <v>136</v>
      </c>
      <c r="C40" s="176">
        <v>90092</v>
      </c>
      <c r="D40" s="376" t="s">
        <v>310</v>
      </c>
      <c r="E40" s="177" t="s">
        <v>311</v>
      </c>
      <c r="F40" s="176" t="s">
        <v>58</v>
      </c>
      <c r="G40" s="241">
        <f>'MEMORIAL 3'!C186</f>
        <v>96.39</v>
      </c>
      <c r="H40" s="241">
        <f t="shared" ref="H40:H47" si="2">ROUND(K40+(K40*$I$15),2)</f>
        <v>4.92</v>
      </c>
      <c r="I40" s="241">
        <f>ROUNDDOWN(G40*H40,2)</f>
        <v>474.23</v>
      </c>
      <c r="K40" s="210">
        <f>'RUA 1'!K40</f>
        <v>4.03</v>
      </c>
      <c r="L40" s="20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40"/>
      <c r="AD40" s="224"/>
      <c r="AE40" s="224"/>
      <c r="AF40" s="240"/>
      <c r="AG40" s="240"/>
    </row>
    <row r="41" spans="2:33" s="197" customFormat="1" ht="42.75">
      <c r="B41" s="176" t="s">
        <v>136</v>
      </c>
      <c r="C41" s="176">
        <v>94045</v>
      </c>
      <c r="D41" s="376" t="s">
        <v>312</v>
      </c>
      <c r="E41" s="177" t="s">
        <v>314</v>
      </c>
      <c r="F41" s="176" t="s">
        <v>85</v>
      </c>
      <c r="G41" s="241">
        <f>'MEMORIAL 3'!C194</f>
        <v>130.32</v>
      </c>
      <c r="H41" s="241">
        <f t="shared" si="2"/>
        <v>12.48</v>
      </c>
      <c r="I41" s="241">
        <f>ROUNDUP(G41*H41,2)</f>
        <v>1626.4</v>
      </c>
      <c r="K41" s="210">
        <f>'RUA 1'!K41</f>
        <v>10.23</v>
      </c>
      <c r="L41" s="204"/>
      <c r="M41" s="210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40"/>
      <c r="AD41" s="224"/>
      <c r="AE41" s="224"/>
      <c r="AF41" s="240"/>
      <c r="AG41" s="240"/>
    </row>
    <row r="42" spans="2:33" s="197" customFormat="1">
      <c r="B42" s="176" t="s">
        <v>315</v>
      </c>
      <c r="C42" s="380" t="s">
        <v>363</v>
      </c>
      <c r="D42" s="376" t="s">
        <v>313</v>
      </c>
      <c r="E42" s="177" t="s">
        <v>95</v>
      </c>
      <c r="F42" s="176" t="s">
        <v>58</v>
      </c>
      <c r="G42" s="241">
        <f>'MEMORIAL 3'!C203</f>
        <v>9.36</v>
      </c>
      <c r="H42" s="241">
        <f t="shared" si="2"/>
        <v>96.6</v>
      </c>
      <c r="I42" s="241">
        <f t="shared" ref="I42:I47" si="3">ROUND(G42*H42,2)</f>
        <v>904.18</v>
      </c>
      <c r="K42" s="210">
        <f>'RUA 1'!K42</f>
        <v>79.16</v>
      </c>
      <c r="L42" s="20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40"/>
      <c r="AD42" s="224"/>
      <c r="AE42" s="224"/>
      <c r="AF42" s="240"/>
      <c r="AG42" s="240"/>
    </row>
    <row r="43" spans="2:33" s="197" customFormat="1" ht="42.75">
      <c r="B43" s="242" t="s">
        <v>136</v>
      </c>
      <c r="C43" s="242">
        <v>92212</v>
      </c>
      <c r="D43" s="376" t="s">
        <v>316</v>
      </c>
      <c r="E43" s="177" t="s">
        <v>353</v>
      </c>
      <c r="F43" s="176" t="s">
        <v>148</v>
      </c>
      <c r="G43" s="241">
        <f>'MEMORIAL 3'!C211</f>
        <v>41.6</v>
      </c>
      <c r="H43" s="241">
        <f t="shared" si="2"/>
        <v>156.25</v>
      </c>
      <c r="I43" s="241">
        <f t="shared" si="3"/>
        <v>6500</v>
      </c>
      <c r="K43" s="210">
        <f>'RUA 1'!K43</f>
        <v>128.04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40"/>
      <c r="AD43" s="224"/>
      <c r="AE43" s="224"/>
      <c r="AF43" s="240"/>
      <c r="AG43" s="240"/>
    </row>
    <row r="44" spans="2:33" s="197" customFormat="1" ht="71.25">
      <c r="B44" s="176" t="s">
        <v>136</v>
      </c>
      <c r="C44" s="176">
        <v>93360</v>
      </c>
      <c r="D44" s="376" t="s">
        <v>317</v>
      </c>
      <c r="E44" s="177" t="s">
        <v>319</v>
      </c>
      <c r="F44" s="176" t="s">
        <v>58</v>
      </c>
      <c r="G44" s="241">
        <f>'MEMORIAL 3'!B231</f>
        <v>68.89</v>
      </c>
      <c r="H44" s="241">
        <f t="shared" si="2"/>
        <v>15.07</v>
      </c>
      <c r="I44" s="241">
        <f t="shared" si="3"/>
        <v>1038.17</v>
      </c>
      <c r="K44" s="210">
        <f>'RUA 1'!K44</f>
        <v>12.35</v>
      </c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40"/>
      <c r="AD44" s="224"/>
      <c r="AE44" s="224"/>
      <c r="AF44" s="240"/>
      <c r="AG44" s="240"/>
    </row>
    <row r="45" spans="2:33" s="197" customFormat="1" ht="42.75">
      <c r="B45" s="176" t="s">
        <v>136</v>
      </c>
      <c r="C45" s="242">
        <v>83659</v>
      </c>
      <c r="D45" s="376" t="s">
        <v>318</v>
      </c>
      <c r="E45" s="177" t="s">
        <v>322</v>
      </c>
      <c r="F45" s="176" t="s">
        <v>102</v>
      </c>
      <c r="G45" s="241">
        <f>'MEMORIAL 3'!B237</f>
        <v>4</v>
      </c>
      <c r="H45" s="241">
        <f t="shared" si="2"/>
        <v>709.47</v>
      </c>
      <c r="I45" s="241">
        <f t="shared" si="3"/>
        <v>2837.88</v>
      </c>
      <c r="K45" s="210">
        <f>'RUA 1'!K45</f>
        <v>581.39</v>
      </c>
      <c r="L45" s="20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40"/>
      <c r="AD45" s="224"/>
      <c r="AE45" s="224"/>
      <c r="AF45" s="240"/>
      <c r="AG45" s="240"/>
    </row>
    <row r="46" spans="2:33" s="197" customFormat="1" ht="28.5">
      <c r="B46" s="176" t="s">
        <v>315</v>
      </c>
      <c r="C46" s="381" t="s">
        <v>361</v>
      </c>
      <c r="D46" s="376" t="s">
        <v>320</v>
      </c>
      <c r="E46" s="177" t="s">
        <v>324</v>
      </c>
      <c r="F46" s="176" t="s">
        <v>102</v>
      </c>
      <c r="G46" s="241">
        <f>'MEMORIAL 3'!B243</f>
        <v>4</v>
      </c>
      <c r="H46" s="241">
        <f t="shared" si="2"/>
        <v>374.95</v>
      </c>
      <c r="I46" s="241">
        <f t="shared" si="3"/>
        <v>1499.8</v>
      </c>
      <c r="K46" s="210">
        <f>COMP!K351</f>
        <v>307.26</v>
      </c>
      <c r="L46" s="20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40"/>
      <c r="AD46" s="224"/>
      <c r="AE46" s="224"/>
      <c r="AF46" s="240"/>
      <c r="AG46" s="240"/>
    </row>
    <row r="47" spans="2:33" s="197" customFormat="1" ht="42.75">
      <c r="B47" s="176" t="s">
        <v>136</v>
      </c>
      <c r="C47" s="176" t="s">
        <v>326</v>
      </c>
      <c r="D47" s="376" t="s">
        <v>321</v>
      </c>
      <c r="E47" s="177" t="s">
        <v>327</v>
      </c>
      <c r="F47" s="176" t="s">
        <v>102</v>
      </c>
      <c r="G47" s="241">
        <f>'MEMORIAL 3'!B249</f>
        <v>2</v>
      </c>
      <c r="H47" s="241">
        <f t="shared" si="2"/>
        <v>1011.7</v>
      </c>
      <c r="I47" s="241">
        <f t="shared" si="3"/>
        <v>2023.4</v>
      </c>
      <c r="K47" s="210">
        <f>'RUA 1'!K47</f>
        <v>829.06</v>
      </c>
      <c r="L47" s="20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40"/>
      <c r="AD47" s="224"/>
      <c r="AE47" s="224"/>
      <c r="AF47" s="240"/>
      <c r="AG47" s="240"/>
    </row>
    <row r="48" spans="2:33" s="197" customFormat="1">
      <c r="B48" s="366"/>
      <c r="C48" s="366"/>
      <c r="D48" s="366"/>
      <c r="E48" s="367"/>
      <c r="F48" s="366"/>
      <c r="G48" s="368"/>
      <c r="H48" s="368"/>
      <c r="I48" s="368"/>
      <c r="K48" s="210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40"/>
      <c r="AA48" s="240"/>
      <c r="AB48" s="224"/>
      <c r="AC48" s="240"/>
      <c r="AD48" s="240"/>
      <c r="AE48" s="240"/>
      <c r="AF48" s="240"/>
      <c r="AG48" s="240"/>
    </row>
    <row r="49" spans="2:33" customFormat="1" ht="15">
      <c r="B49" s="371"/>
      <c r="C49" s="371"/>
      <c r="D49" s="371"/>
      <c r="E49" s="371"/>
      <c r="F49" s="371"/>
      <c r="G49" s="371"/>
      <c r="H49" s="371"/>
      <c r="I49" s="371"/>
    </row>
    <row r="50" spans="2:33" s="197" customFormat="1" ht="15">
      <c r="B50" s="369" t="s">
        <v>127</v>
      </c>
      <c r="C50" s="369" t="s">
        <v>52</v>
      </c>
      <c r="D50" s="369" t="s">
        <v>356</v>
      </c>
      <c r="E50" s="565" t="s">
        <v>166</v>
      </c>
      <c r="F50" s="565"/>
      <c r="G50" s="565"/>
      <c r="H50" s="565"/>
      <c r="I50" s="370">
        <f>SUM(I51)</f>
        <v>668.9</v>
      </c>
      <c r="K50" s="204"/>
      <c r="L50" s="20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40"/>
      <c r="AD50" s="224"/>
      <c r="AE50" s="224"/>
      <c r="AF50" s="240"/>
      <c r="AG50" s="240"/>
    </row>
    <row r="51" spans="2:33">
      <c r="B51" s="372" t="s">
        <v>158</v>
      </c>
      <c r="C51" s="372">
        <v>84523</v>
      </c>
      <c r="D51" s="372" t="s">
        <v>357</v>
      </c>
      <c r="E51" s="373" t="s">
        <v>168</v>
      </c>
      <c r="F51" s="372" t="s">
        <v>85</v>
      </c>
      <c r="G51" s="374">
        <f>'MEMORIAL 3'!B257</f>
        <v>1715.13</v>
      </c>
      <c r="H51" s="375">
        <f>ROUND(K51+(K51*$I$15),2)</f>
        <v>0.39</v>
      </c>
      <c r="I51" s="372">
        <f>ROUND(G51*H51,2)</f>
        <v>668.9</v>
      </c>
      <c r="K51" s="160">
        <v>0.32</v>
      </c>
    </row>
    <row r="52" spans="2:33">
      <c r="B52" s="524"/>
      <c r="C52" s="524"/>
      <c r="D52" s="524"/>
      <c r="E52" s="524"/>
      <c r="F52" s="524"/>
      <c r="G52" s="524"/>
      <c r="H52" s="524"/>
      <c r="I52" s="524"/>
    </row>
    <row r="53" spans="2:33">
      <c r="E53" s="245"/>
      <c r="G53" s="246"/>
      <c r="H53" s="234"/>
      <c r="I53" s="234"/>
    </row>
    <row r="54" spans="2:33">
      <c r="B54" s="518" t="s">
        <v>133</v>
      </c>
      <c r="C54" s="518"/>
      <c r="D54" s="518"/>
      <c r="E54" s="518"/>
      <c r="F54" s="518"/>
      <c r="G54" s="518"/>
      <c r="H54" s="518"/>
      <c r="I54" s="519">
        <f>I26+I20+I50+I38</f>
        <v>156665.81</v>
      </c>
    </row>
    <row r="55" spans="2:33">
      <c r="B55" s="518"/>
      <c r="C55" s="518"/>
      <c r="D55" s="518"/>
      <c r="E55" s="518"/>
      <c r="F55" s="518"/>
      <c r="G55" s="518"/>
      <c r="H55" s="518"/>
      <c r="I55" s="519"/>
    </row>
    <row r="57" spans="2:33">
      <c r="B57" s="245"/>
    </row>
  </sheetData>
  <mergeCells count="29">
    <mergeCell ref="B36:I36"/>
    <mergeCell ref="B54:H55"/>
    <mergeCell ref="I54:I55"/>
    <mergeCell ref="H17:I17"/>
    <mergeCell ref="E20:H20"/>
    <mergeCell ref="B24:I24"/>
    <mergeCell ref="E26:H26"/>
    <mergeCell ref="E50:H50"/>
    <mergeCell ref="B52:I52"/>
    <mergeCell ref="E38:H38"/>
    <mergeCell ref="C13:I13"/>
    <mergeCell ref="B15:C15"/>
    <mergeCell ref="D15:G15"/>
    <mergeCell ref="B17:B18"/>
    <mergeCell ref="C17:C18"/>
    <mergeCell ref="D17:D18"/>
    <mergeCell ref="E17:E18"/>
    <mergeCell ref="F17:F18"/>
    <mergeCell ref="G17:G18"/>
    <mergeCell ref="B1:I1"/>
    <mergeCell ref="B2:I2"/>
    <mergeCell ref="B3:I3"/>
    <mergeCell ref="C12:I12"/>
    <mergeCell ref="B10:I10"/>
    <mergeCell ref="B4:I4"/>
    <mergeCell ref="B5:I5"/>
    <mergeCell ref="B6:I6"/>
    <mergeCell ref="B7:I7"/>
    <mergeCell ref="B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Planilha8"/>
  <dimension ref="A2:AO257"/>
  <sheetViews>
    <sheetView view="pageBreakPreview" zoomScaleSheetLayoutView="100" workbookViewId="0">
      <selection activeCell="N227" sqref="N227:O227"/>
    </sheetView>
  </sheetViews>
  <sheetFormatPr defaultColWidth="9.140625" defaultRowHeight="14.25"/>
  <cols>
    <col min="1" max="1" width="3.7109375" style="200" customWidth="1"/>
    <col min="2" max="3" width="4.42578125" style="200" customWidth="1"/>
    <col min="4" max="5" width="3.7109375" style="200" customWidth="1"/>
    <col min="6" max="6" width="5.140625" style="200" customWidth="1"/>
    <col min="7" max="8" width="3.7109375" style="200" customWidth="1"/>
    <col min="9" max="9" width="5.85546875" style="200" customWidth="1"/>
    <col min="10" max="13" width="3.7109375" style="200" customWidth="1"/>
    <col min="14" max="15" width="3.7109375" style="199" customWidth="1"/>
    <col min="16" max="18" width="3.7109375" style="200" customWidth="1"/>
    <col min="19" max="19" width="3.7109375" style="199" customWidth="1"/>
    <col min="20" max="34" width="3.7109375" style="200" customWidth="1"/>
    <col min="35" max="35" width="6.42578125" style="200" customWidth="1"/>
    <col min="36" max="36" width="12.28515625" style="198" customWidth="1"/>
    <col min="37" max="38" width="9.140625" style="199"/>
    <col min="39" max="16384" width="9.140625" style="200"/>
  </cols>
  <sheetData>
    <row r="2" spans="1:40" ht="30" customHeight="1">
      <c r="A2" s="545" t="s">
        <v>389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7"/>
    </row>
    <row r="4" spans="1:40" ht="15">
      <c r="A4" s="539" t="s">
        <v>169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  <c r="AG4" s="540"/>
      <c r="AH4" s="540"/>
      <c r="AI4" s="541"/>
    </row>
    <row r="6" spans="1:40" ht="15">
      <c r="A6" s="542" t="s">
        <v>170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</row>
    <row r="8" spans="1:40" ht="30" customHeight="1">
      <c r="A8" s="535" t="s">
        <v>171</v>
      </c>
      <c r="B8" s="535"/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</row>
    <row r="9" spans="1:40">
      <c r="N9" s="198"/>
      <c r="O9" s="198"/>
      <c r="AJ9" s="201" t="s">
        <v>172</v>
      </c>
      <c r="AK9" s="201" t="s">
        <v>173</v>
      </c>
      <c r="AL9" s="202"/>
      <c r="AM9" s="203"/>
      <c r="AN9" s="203"/>
    </row>
    <row r="10" spans="1:40" s="199" customFormat="1">
      <c r="A10" s="204" t="s">
        <v>174</v>
      </c>
      <c r="B10" s="543">
        <f>AJ10</f>
        <v>0</v>
      </c>
      <c r="C10" s="543"/>
      <c r="D10" s="199" t="s">
        <v>148</v>
      </c>
      <c r="E10" s="198" t="s">
        <v>175</v>
      </c>
      <c r="F10" s="543">
        <f>AK10</f>
        <v>0</v>
      </c>
      <c r="G10" s="543"/>
      <c r="H10" s="199" t="s">
        <v>148</v>
      </c>
      <c r="I10" s="198" t="s">
        <v>176</v>
      </c>
      <c r="J10" s="543">
        <f>B10*F10</f>
        <v>0</v>
      </c>
      <c r="K10" s="543"/>
      <c r="L10" s="199" t="s">
        <v>85</v>
      </c>
      <c r="N10" s="198"/>
      <c r="O10" s="198"/>
      <c r="AJ10" s="201">
        <v>0</v>
      </c>
      <c r="AK10" s="201">
        <v>0</v>
      </c>
      <c r="AL10" s="202"/>
      <c r="AM10" s="202"/>
      <c r="AN10" s="202"/>
    </row>
    <row r="11" spans="1:40">
      <c r="A11" s="205"/>
      <c r="B11" s="206"/>
      <c r="N11" s="198"/>
      <c r="O11" s="198"/>
      <c r="AJ11" s="201"/>
      <c r="AK11" s="202"/>
      <c r="AL11" s="202"/>
      <c r="AM11" s="203"/>
      <c r="AN11" s="203"/>
    </row>
    <row r="12" spans="1:40" ht="15">
      <c r="A12" s="542" t="s">
        <v>382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2"/>
      <c r="T12" s="542"/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201"/>
      <c r="AK12" s="202"/>
      <c r="AL12" s="202"/>
      <c r="AM12" s="203"/>
      <c r="AN12" s="203"/>
    </row>
    <row r="13" spans="1:40">
      <c r="AJ13" s="201"/>
      <c r="AK13" s="202"/>
      <c r="AL13" s="202"/>
      <c r="AM13" s="203"/>
      <c r="AN13" s="203"/>
    </row>
    <row r="14" spans="1:40">
      <c r="A14" s="530" t="s">
        <v>248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0"/>
      <c r="AD14" s="530"/>
      <c r="AE14" s="530"/>
      <c r="AF14" s="530"/>
      <c r="AG14" s="530"/>
      <c r="AH14" s="530"/>
      <c r="AI14" s="530"/>
      <c r="AJ14" s="201"/>
      <c r="AK14" s="202"/>
      <c r="AL14" s="202"/>
      <c r="AM14" s="203"/>
      <c r="AN14" s="203"/>
    </row>
    <row r="15" spans="1:40">
      <c r="A15" s="526"/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212"/>
      <c r="AK15" s="212"/>
      <c r="AL15" s="212"/>
      <c r="AM15" s="213"/>
      <c r="AN15" s="203"/>
    </row>
    <row r="16" spans="1:40">
      <c r="A16" s="200" t="s">
        <v>174</v>
      </c>
      <c r="B16" s="543">
        <f>AJ76</f>
        <v>290</v>
      </c>
      <c r="C16" s="530"/>
      <c r="D16" s="200" t="s">
        <v>148</v>
      </c>
      <c r="E16" s="214" t="s">
        <v>175</v>
      </c>
      <c r="F16" s="205"/>
      <c r="G16" s="543">
        <f>AK76</f>
        <v>5.8</v>
      </c>
      <c r="H16" s="543"/>
      <c r="I16" s="200" t="s">
        <v>148</v>
      </c>
      <c r="J16" s="214"/>
      <c r="K16" s="199"/>
      <c r="L16" s="199"/>
      <c r="N16" s="198"/>
      <c r="P16" s="199"/>
      <c r="AJ16" s="201"/>
      <c r="AK16" s="201"/>
      <c r="AL16" s="201"/>
      <c r="AM16" s="201"/>
      <c r="AN16" s="203"/>
    </row>
    <row r="17" spans="1:40">
      <c r="A17" s="200" t="s">
        <v>443</v>
      </c>
      <c r="B17" s="199"/>
      <c r="E17" s="525">
        <v>33.130000000000003</v>
      </c>
      <c r="F17" s="525"/>
      <c r="G17" s="199"/>
      <c r="H17" s="199"/>
      <c r="J17" s="214"/>
      <c r="K17" s="199"/>
      <c r="L17" s="199"/>
      <c r="N17" s="198"/>
      <c r="P17" s="199"/>
      <c r="AJ17" s="201"/>
      <c r="AK17" s="201"/>
      <c r="AL17" s="201"/>
      <c r="AM17" s="201"/>
      <c r="AN17" s="203"/>
    </row>
    <row r="18" spans="1:40">
      <c r="B18" s="204"/>
      <c r="C18" s="204"/>
      <c r="D18" s="204"/>
      <c r="E18" s="206"/>
      <c r="AJ18" s="201"/>
      <c r="AK18" s="202"/>
      <c r="AL18" s="202"/>
      <c r="AM18" s="203"/>
      <c r="AN18" s="203"/>
    </row>
    <row r="19" spans="1:40">
      <c r="A19" s="200" t="s">
        <v>185</v>
      </c>
      <c r="B19" s="204"/>
      <c r="C19" s="525">
        <f>B16*G16+E17</f>
        <v>1715.13</v>
      </c>
      <c r="D19" s="525"/>
      <c r="E19" s="525"/>
      <c r="F19" s="206" t="s">
        <v>85</v>
      </c>
      <c r="AJ19" s="201"/>
      <c r="AK19" s="202"/>
      <c r="AL19" s="202"/>
      <c r="AM19" s="203"/>
      <c r="AN19" s="203"/>
    </row>
    <row r="20" spans="1:40">
      <c r="F20" s="216"/>
      <c r="G20" s="216"/>
      <c r="N20" s="200"/>
      <c r="O20" s="200"/>
      <c r="S20" s="200"/>
      <c r="AJ20" s="201"/>
      <c r="AK20" s="202"/>
      <c r="AL20" s="202"/>
      <c r="AM20" s="203"/>
      <c r="AN20" s="203"/>
    </row>
    <row r="21" spans="1:40" ht="15">
      <c r="A21" s="542" t="s">
        <v>428</v>
      </c>
      <c r="B21" s="542"/>
      <c r="C21" s="542"/>
      <c r="D21" s="542"/>
      <c r="E21" s="542"/>
      <c r="F21" s="542"/>
      <c r="G21" s="542"/>
      <c r="H21" s="542"/>
      <c r="I21" s="542"/>
      <c r="J21" s="542"/>
      <c r="K21" s="542"/>
      <c r="L21" s="542"/>
      <c r="M21" s="542"/>
      <c r="N21" s="542"/>
      <c r="O21" s="542"/>
      <c r="P21" s="542"/>
      <c r="Q21" s="542"/>
      <c r="R21" s="542"/>
      <c r="S21" s="542"/>
      <c r="T21" s="542"/>
      <c r="U21" s="542"/>
      <c r="V21" s="542"/>
      <c r="W21" s="542"/>
      <c r="X21" s="542"/>
      <c r="Y21" s="542"/>
      <c r="Z21" s="542"/>
      <c r="AA21" s="542"/>
      <c r="AB21" s="542"/>
      <c r="AC21" s="542"/>
      <c r="AD21" s="542"/>
      <c r="AE21" s="542"/>
      <c r="AF21" s="542"/>
      <c r="AG21" s="542"/>
      <c r="AH21" s="542"/>
      <c r="AI21" s="542"/>
      <c r="AJ21" s="201"/>
      <c r="AK21" s="202"/>
      <c r="AL21" s="202"/>
      <c r="AM21" s="203"/>
      <c r="AN21" s="203"/>
    </row>
    <row r="22" spans="1:40">
      <c r="AJ22" s="201"/>
      <c r="AK22" s="202"/>
      <c r="AL22" s="202"/>
      <c r="AM22" s="203"/>
      <c r="AN22" s="203"/>
    </row>
    <row r="23" spans="1:40">
      <c r="A23" s="530" t="s">
        <v>442</v>
      </c>
      <c r="B23" s="530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0"/>
      <c r="AC23" s="530"/>
      <c r="AD23" s="530"/>
      <c r="AE23" s="530"/>
      <c r="AF23" s="530"/>
      <c r="AG23" s="530"/>
      <c r="AH23" s="530"/>
      <c r="AI23" s="530"/>
      <c r="AJ23" s="201"/>
      <c r="AK23" s="202"/>
      <c r="AL23" s="202"/>
      <c r="AM23" s="203"/>
      <c r="AN23" s="203"/>
    </row>
    <row r="24" spans="1:40">
      <c r="AJ24" s="201" t="s">
        <v>178</v>
      </c>
      <c r="AK24" s="202"/>
      <c r="AL24" s="202"/>
      <c r="AM24" s="203"/>
      <c r="AN24" s="203"/>
    </row>
    <row r="25" spans="1:40">
      <c r="A25" s="200" t="s">
        <v>179</v>
      </c>
      <c r="B25" s="543">
        <f>AJ25</f>
        <v>2</v>
      </c>
      <c r="C25" s="543"/>
      <c r="D25" s="200" t="s">
        <v>102</v>
      </c>
      <c r="AJ25" s="201">
        <v>2</v>
      </c>
      <c r="AK25" s="202"/>
      <c r="AL25" s="202"/>
      <c r="AM25" s="203"/>
      <c r="AN25" s="203"/>
    </row>
    <row r="26" spans="1:40">
      <c r="AJ26" s="201"/>
      <c r="AK26" s="202"/>
      <c r="AL26" s="202"/>
      <c r="AM26" s="203"/>
      <c r="AN26" s="203"/>
    </row>
    <row r="27" spans="1:40" s="197" customFormat="1" ht="15" hidden="1">
      <c r="A27" s="559" t="s">
        <v>232</v>
      </c>
      <c r="B27" s="559"/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59"/>
      <c r="O27" s="559"/>
      <c r="P27" s="559"/>
      <c r="Q27" s="559"/>
      <c r="R27" s="559"/>
      <c r="S27" s="559"/>
      <c r="T27" s="559"/>
      <c r="U27" s="559"/>
      <c r="V27" s="559"/>
      <c r="W27" s="559"/>
      <c r="X27" s="559"/>
      <c r="Y27" s="559"/>
      <c r="Z27" s="559"/>
      <c r="AA27" s="559"/>
      <c r="AB27" s="559"/>
      <c r="AC27" s="559"/>
      <c r="AD27" s="559"/>
      <c r="AE27" s="559"/>
      <c r="AF27" s="559"/>
      <c r="AG27" s="559"/>
      <c r="AH27" s="559"/>
      <c r="AI27" s="559"/>
      <c r="AJ27" s="207"/>
      <c r="AK27" s="208"/>
      <c r="AL27" s="208"/>
      <c r="AM27" s="209"/>
      <c r="AN27" s="209"/>
    </row>
    <row r="28" spans="1:40" s="197" customFormat="1" hidden="1">
      <c r="N28" s="210"/>
      <c r="O28" s="210"/>
      <c r="S28" s="210"/>
      <c r="AJ28" s="207"/>
      <c r="AK28" s="208"/>
      <c r="AL28" s="208"/>
      <c r="AM28" s="209"/>
      <c r="AN28" s="209"/>
    </row>
    <row r="29" spans="1:40" s="197" customFormat="1" hidden="1">
      <c r="A29" s="558" t="s">
        <v>233</v>
      </c>
      <c r="B29" s="558"/>
      <c r="C29" s="558"/>
      <c r="D29" s="558"/>
      <c r="E29" s="558"/>
      <c r="F29" s="558"/>
      <c r="G29" s="558"/>
      <c r="H29" s="558"/>
      <c r="I29" s="558"/>
      <c r="J29" s="558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58"/>
      <c r="Y29" s="558"/>
      <c r="Z29" s="558"/>
      <c r="AA29" s="558"/>
      <c r="AB29" s="558"/>
      <c r="AC29" s="558"/>
      <c r="AD29" s="558"/>
      <c r="AE29" s="558"/>
      <c r="AF29" s="558"/>
      <c r="AG29" s="558"/>
      <c r="AH29" s="558"/>
      <c r="AI29" s="558"/>
      <c r="AJ29" s="207"/>
      <c r="AK29" s="208"/>
      <c r="AL29" s="208"/>
      <c r="AM29" s="209"/>
      <c r="AN29" s="209"/>
    </row>
    <row r="30" spans="1:40" s="197" customFormat="1" hidden="1">
      <c r="N30" s="210"/>
      <c r="O30" s="210"/>
      <c r="S30" s="210"/>
      <c r="AJ30" s="207" t="s">
        <v>234</v>
      </c>
      <c r="AK30" s="208"/>
      <c r="AL30" s="208"/>
      <c r="AM30" s="209"/>
      <c r="AN30" s="209"/>
    </row>
    <row r="31" spans="1:40" s="197" customFormat="1" hidden="1">
      <c r="A31" s="197" t="s">
        <v>235</v>
      </c>
      <c r="B31" s="560">
        <f>AJ31</f>
        <v>1</v>
      </c>
      <c r="C31" s="560"/>
      <c r="D31" s="558" t="s">
        <v>102</v>
      </c>
      <c r="E31" s="558"/>
      <c r="N31" s="210"/>
      <c r="O31" s="210"/>
      <c r="S31" s="210"/>
      <c r="AJ31" s="207">
        <v>1</v>
      </c>
      <c r="AK31" s="208"/>
      <c r="AL31" s="208"/>
      <c r="AM31" s="209"/>
      <c r="AN31" s="209"/>
    </row>
    <row r="32" spans="1:40" s="197" customFormat="1" hidden="1">
      <c r="N32" s="210"/>
      <c r="O32" s="210"/>
      <c r="S32" s="210"/>
      <c r="AJ32" s="207"/>
      <c r="AK32" s="208"/>
      <c r="AL32" s="208"/>
      <c r="AM32" s="209"/>
      <c r="AN32" s="209"/>
    </row>
    <row r="33" spans="1:40" s="197" customFormat="1" hidden="1">
      <c r="N33" s="210"/>
      <c r="O33" s="210"/>
      <c r="S33" s="210"/>
      <c r="AJ33" s="207"/>
      <c r="AK33" s="208"/>
      <c r="AL33" s="208"/>
      <c r="AM33" s="209"/>
      <c r="AN33" s="209"/>
    </row>
    <row r="34" spans="1:40" s="197" customFormat="1" ht="15" hidden="1">
      <c r="A34" s="559" t="s">
        <v>236</v>
      </c>
      <c r="B34" s="559"/>
      <c r="C34" s="559"/>
      <c r="D34" s="559"/>
      <c r="E34" s="559"/>
      <c r="F34" s="559"/>
      <c r="G34" s="559"/>
      <c r="H34" s="559"/>
      <c r="I34" s="559"/>
      <c r="J34" s="559"/>
      <c r="K34" s="559"/>
      <c r="L34" s="559"/>
      <c r="M34" s="559"/>
      <c r="N34" s="559"/>
      <c r="O34" s="559"/>
      <c r="P34" s="559"/>
      <c r="Q34" s="559"/>
      <c r="R34" s="559"/>
      <c r="S34" s="559"/>
      <c r="T34" s="559"/>
      <c r="U34" s="559"/>
      <c r="V34" s="559"/>
      <c r="W34" s="559"/>
      <c r="X34" s="559"/>
      <c r="Y34" s="559"/>
      <c r="Z34" s="559"/>
      <c r="AA34" s="559"/>
      <c r="AB34" s="559"/>
      <c r="AC34" s="559"/>
      <c r="AD34" s="559"/>
      <c r="AE34" s="559"/>
      <c r="AF34" s="559"/>
      <c r="AG34" s="559"/>
      <c r="AH34" s="559"/>
      <c r="AI34" s="559"/>
      <c r="AJ34" s="207"/>
      <c r="AK34" s="208"/>
      <c r="AL34" s="208"/>
      <c r="AM34" s="209"/>
      <c r="AN34" s="209"/>
    </row>
    <row r="35" spans="1:40" s="197" customFormat="1" hidden="1">
      <c r="N35" s="210"/>
      <c r="O35" s="210"/>
      <c r="S35" s="210"/>
      <c r="AJ35" s="207"/>
      <c r="AK35" s="208"/>
      <c r="AL35" s="208"/>
      <c r="AM35" s="209"/>
      <c r="AN35" s="209"/>
    </row>
    <row r="36" spans="1:40" s="197" customFormat="1" hidden="1">
      <c r="A36" s="558" t="s">
        <v>233</v>
      </c>
      <c r="B36" s="558"/>
      <c r="C36" s="558"/>
      <c r="D36" s="558"/>
      <c r="E36" s="558"/>
      <c r="F36" s="558"/>
      <c r="G36" s="558"/>
      <c r="H36" s="558"/>
      <c r="I36" s="558"/>
      <c r="J36" s="558"/>
      <c r="K36" s="558"/>
      <c r="L36" s="558"/>
      <c r="M36" s="558"/>
      <c r="N36" s="558"/>
      <c r="O36" s="558"/>
      <c r="P36" s="558"/>
      <c r="Q36" s="558"/>
      <c r="R36" s="558"/>
      <c r="S36" s="558"/>
      <c r="T36" s="558"/>
      <c r="U36" s="558"/>
      <c r="V36" s="558"/>
      <c r="W36" s="558"/>
      <c r="X36" s="558"/>
      <c r="Y36" s="558"/>
      <c r="Z36" s="558"/>
      <c r="AA36" s="558"/>
      <c r="AB36" s="558"/>
      <c r="AC36" s="558"/>
      <c r="AD36" s="558"/>
      <c r="AE36" s="558"/>
      <c r="AF36" s="558"/>
      <c r="AG36" s="558"/>
      <c r="AH36" s="558"/>
      <c r="AI36" s="558"/>
      <c r="AJ36" s="207"/>
      <c r="AK36" s="208"/>
      <c r="AL36" s="208"/>
      <c r="AM36" s="209"/>
      <c r="AN36" s="209"/>
    </row>
    <row r="37" spans="1:40" s="197" customFormat="1" hidden="1">
      <c r="G37" s="197" t="e">
        <f>'MEMORIAL 3'!B21:D167</f>
        <v>#VALUE!</v>
      </c>
      <c r="N37" s="210"/>
      <c r="O37" s="210"/>
      <c r="S37" s="210"/>
      <c r="AJ37" s="207" t="s">
        <v>234</v>
      </c>
      <c r="AK37" s="208"/>
      <c r="AL37" s="208"/>
      <c r="AM37" s="209"/>
      <c r="AN37" s="209"/>
    </row>
    <row r="38" spans="1:40" s="197" customFormat="1" hidden="1">
      <c r="A38" s="197" t="s">
        <v>235</v>
      </c>
      <c r="B38" s="560">
        <f>AJ38</f>
        <v>1</v>
      </c>
      <c r="C38" s="560"/>
      <c r="D38" s="558" t="s">
        <v>102</v>
      </c>
      <c r="E38" s="558"/>
      <c r="N38" s="210"/>
      <c r="O38" s="210"/>
      <c r="S38" s="210"/>
      <c r="AJ38" s="207">
        <v>1</v>
      </c>
      <c r="AK38" s="208"/>
      <c r="AL38" s="208"/>
      <c r="AM38" s="209"/>
      <c r="AN38" s="209"/>
    </row>
    <row r="39" spans="1:40" s="197" customFormat="1" hidden="1">
      <c r="N39" s="210"/>
      <c r="O39" s="210"/>
      <c r="S39" s="210"/>
      <c r="AJ39" s="207"/>
      <c r="AK39" s="208"/>
      <c r="AL39" s="208"/>
      <c r="AM39" s="209"/>
      <c r="AN39" s="209"/>
    </row>
    <row r="40" spans="1:40" s="197" customFormat="1" hidden="1">
      <c r="N40" s="210"/>
      <c r="O40" s="210"/>
      <c r="S40" s="210"/>
      <c r="AJ40" s="207"/>
      <c r="AK40" s="208"/>
      <c r="AL40" s="208"/>
      <c r="AM40" s="209"/>
      <c r="AN40" s="209"/>
    </row>
    <row r="41" spans="1:40" s="197" customFormat="1" ht="15" hidden="1">
      <c r="A41" s="559" t="s">
        <v>237</v>
      </c>
      <c r="B41" s="559"/>
      <c r="C41" s="559"/>
      <c r="D41" s="559"/>
      <c r="E41" s="559"/>
      <c r="F41" s="559"/>
      <c r="G41" s="559"/>
      <c r="H41" s="559"/>
      <c r="I41" s="559"/>
      <c r="J41" s="559"/>
      <c r="K41" s="559"/>
      <c r="L41" s="559"/>
      <c r="M41" s="559"/>
      <c r="N41" s="559"/>
      <c r="O41" s="559"/>
      <c r="P41" s="559"/>
      <c r="Q41" s="559"/>
      <c r="R41" s="559"/>
      <c r="S41" s="559"/>
      <c r="T41" s="559"/>
      <c r="U41" s="559"/>
      <c r="V41" s="559"/>
      <c r="W41" s="559"/>
      <c r="X41" s="559"/>
      <c r="Y41" s="559"/>
      <c r="Z41" s="559"/>
      <c r="AA41" s="559"/>
      <c r="AB41" s="559"/>
      <c r="AC41" s="559"/>
      <c r="AD41" s="559"/>
      <c r="AE41" s="559"/>
      <c r="AF41" s="559"/>
      <c r="AG41" s="559"/>
      <c r="AH41" s="559"/>
      <c r="AI41" s="559"/>
      <c r="AJ41" s="207"/>
      <c r="AK41" s="208"/>
      <c r="AL41" s="208"/>
      <c r="AM41" s="209"/>
      <c r="AN41" s="209"/>
    </row>
    <row r="42" spans="1:40" s="197" customFormat="1" hidden="1">
      <c r="N42" s="210"/>
      <c r="O42" s="210"/>
      <c r="S42" s="210"/>
      <c r="AJ42" s="207"/>
      <c r="AK42" s="208"/>
      <c r="AL42" s="208"/>
      <c r="AM42" s="209"/>
      <c r="AN42" s="209"/>
    </row>
    <row r="43" spans="1:40" s="197" customFormat="1" hidden="1">
      <c r="A43" s="558" t="s">
        <v>233</v>
      </c>
      <c r="B43" s="558"/>
      <c r="C43" s="558"/>
      <c r="D43" s="558"/>
      <c r="E43" s="558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8"/>
      <c r="U43" s="558"/>
      <c r="V43" s="558"/>
      <c r="W43" s="558"/>
      <c r="X43" s="558"/>
      <c r="Y43" s="558"/>
      <c r="Z43" s="558"/>
      <c r="AA43" s="558"/>
      <c r="AB43" s="558"/>
      <c r="AC43" s="558"/>
      <c r="AD43" s="558"/>
      <c r="AE43" s="558"/>
      <c r="AF43" s="558"/>
      <c r="AG43" s="558"/>
      <c r="AH43" s="558"/>
      <c r="AI43" s="558"/>
      <c r="AJ43" s="207"/>
      <c r="AK43" s="208"/>
      <c r="AL43" s="208"/>
      <c r="AM43" s="209"/>
      <c r="AN43" s="209"/>
    </row>
    <row r="44" spans="1:40" s="197" customFormat="1" hidden="1">
      <c r="N44" s="210"/>
      <c r="O44" s="210"/>
      <c r="S44" s="210"/>
      <c r="AJ44" s="207" t="s">
        <v>234</v>
      </c>
      <c r="AK44" s="208"/>
      <c r="AL44" s="208"/>
      <c r="AM44" s="209"/>
      <c r="AN44" s="209"/>
    </row>
    <row r="45" spans="1:40" s="197" customFormat="1" hidden="1">
      <c r="A45" s="197" t="s">
        <v>235</v>
      </c>
      <c r="B45" s="560">
        <f>AJ45</f>
        <v>1</v>
      </c>
      <c r="C45" s="560"/>
      <c r="D45" s="558" t="s">
        <v>102</v>
      </c>
      <c r="E45" s="558"/>
      <c r="N45" s="210"/>
      <c r="O45" s="210"/>
      <c r="S45" s="210"/>
      <c r="AJ45" s="207">
        <v>1</v>
      </c>
      <c r="AK45" s="208"/>
      <c r="AL45" s="208"/>
      <c r="AM45" s="209"/>
      <c r="AN45" s="209"/>
    </row>
    <row r="46" spans="1:40" s="197" customFormat="1" hidden="1">
      <c r="N46" s="210"/>
      <c r="O46" s="210"/>
      <c r="S46" s="210"/>
      <c r="AJ46" s="211"/>
      <c r="AK46" s="208"/>
      <c r="AL46" s="208"/>
      <c r="AM46" s="209"/>
      <c r="AN46" s="209"/>
    </row>
    <row r="47" spans="1:40" s="197" customFormat="1" hidden="1">
      <c r="N47" s="210"/>
      <c r="O47" s="210"/>
      <c r="S47" s="210"/>
      <c r="AJ47" s="211"/>
      <c r="AK47" s="208"/>
      <c r="AL47" s="208"/>
      <c r="AM47" s="209"/>
      <c r="AN47" s="209"/>
    </row>
    <row r="48" spans="1:40" s="197" customFormat="1" ht="15" hidden="1">
      <c r="A48" s="559" t="s">
        <v>238</v>
      </c>
      <c r="B48" s="559"/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  <c r="AA48" s="559"/>
      <c r="AB48" s="559"/>
      <c r="AC48" s="559"/>
      <c r="AD48" s="559"/>
      <c r="AE48" s="559"/>
      <c r="AF48" s="559"/>
      <c r="AG48" s="559"/>
      <c r="AH48" s="559"/>
      <c r="AI48" s="559"/>
      <c r="AJ48" s="211"/>
      <c r="AK48" s="208"/>
      <c r="AL48" s="208"/>
      <c r="AM48" s="209"/>
      <c r="AN48" s="209"/>
    </row>
    <row r="49" spans="1:40" s="197" customFormat="1" hidden="1">
      <c r="N49" s="210"/>
      <c r="O49" s="210"/>
      <c r="S49" s="210"/>
      <c r="AJ49" s="211"/>
      <c r="AK49" s="208"/>
      <c r="AL49" s="208"/>
      <c r="AM49" s="209"/>
      <c r="AN49" s="209"/>
    </row>
    <row r="50" spans="1:40" s="197" customFormat="1" hidden="1">
      <c r="A50" s="558" t="s">
        <v>233</v>
      </c>
      <c r="B50" s="558"/>
      <c r="C50" s="558"/>
      <c r="D50" s="558"/>
      <c r="E50" s="558"/>
      <c r="F50" s="558"/>
      <c r="G50" s="558"/>
      <c r="H50" s="558"/>
      <c r="I50" s="558"/>
      <c r="J50" s="558"/>
      <c r="K50" s="558"/>
      <c r="L50" s="558"/>
      <c r="M50" s="558"/>
      <c r="N50" s="558"/>
      <c r="O50" s="558"/>
      <c r="P50" s="558"/>
      <c r="Q50" s="558"/>
      <c r="R50" s="558"/>
      <c r="S50" s="558"/>
      <c r="T50" s="558"/>
      <c r="U50" s="558"/>
      <c r="V50" s="558"/>
      <c r="W50" s="558"/>
      <c r="X50" s="558"/>
      <c r="Y50" s="558"/>
      <c r="Z50" s="558"/>
      <c r="AA50" s="558"/>
      <c r="AB50" s="558"/>
      <c r="AC50" s="558"/>
      <c r="AD50" s="558"/>
      <c r="AE50" s="558"/>
      <c r="AF50" s="558"/>
      <c r="AG50" s="558"/>
      <c r="AH50" s="558"/>
      <c r="AI50" s="558"/>
      <c r="AJ50" s="211"/>
      <c r="AK50" s="208"/>
      <c r="AL50" s="208"/>
      <c r="AM50" s="209"/>
      <c r="AN50" s="209"/>
    </row>
    <row r="51" spans="1:40" s="197" customFormat="1" hidden="1">
      <c r="N51" s="210"/>
      <c r="O51" s="210"/>
      <c r="S51" s="210"/>
      <c r="AJ51" s="207" t="s">
        <v>234</v>
      </c>
      <c r="AK51" s="208"/>
      <c r="AL51" s="208"/>
      <c r="AM51" s="209"/>
      <c r="AN51" s="209"/>
    </row>
    <row r="52" spans="1:40" s="197" customFormat="1" hidden="1">
      <c r="A52" s="197" t="s">
        <v>235</v>
      </c>
      <c r="B52" s="560">
        <f>AJ52</f>
        <v>1</v>
      </c>
      <c r="C52" s="560"/>
      <c r="D52" s="558" t="s">
        <v>102</v>
      </c>
      <c r="E52" s="558"/>
      <c r="N52" s="210"/>
      <c r="O52" s="210"/>
      <c r="S52" s="210"/>
      <c r="AJ52" s="207">
        <v>1</v>
      </c>
      <c r="AK52" s="208"/>
      <c r="AL52" s="208"/>
      <c r="AM52" s="209"/>
      <c r="AN52" s="209"/>
    </row>
    <row r="53" spans="1:40" s="197" customFormat="1" hidden="1">
      <c r="N53" s="210"/>
      <c r="O53" s="210"/>
      <c r="S53" s="210"/>
      <c r="AJ53" s="207"/>
      <c r="AK53" s="208"/>
      <c r="AL53" s="208"/>
      <c r="AM53" s="209"/>
      <c r="AN53" s="209"/>
    </row>
    <row r="54" spans="1:40" s="197" customFormat="1" hidden="1">
      <c r="N54" s="210"/>
      <c r="O54" s="210"/>
      <c r="S54" s="210"/>
      <c r="AJ54" s="207"/>
      <c r="AK54" s="208"/>
      <c r="AL54" s="208"/>
      <c r="AM54" s="209"/>
      <c r="AN54" s="209"/>
    </row>
    <row r="55" spans="1:40" s="197" customFormat="1" ht="15" hidden="1">
      <c r="A55" s="559" t="s">
        <v>239</v>
      </c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59"/>
      <c r="V55" s="559"/>
      <c r="W55" s="559"/>
      <c r="X55" s="559"/>
      <c r="Y55" s="559"/>
      <c r="Z55" s="559"/>
      <c r="AA55" s="559"/>
      <c r="AB55" s="559"/>
      <c r="AC55" s="559"/>
      <c r="AD55" s="559"/>
      <c r="AE55" s="559"/>
      <c r="AF55" s="559"/>
      <c r="AG55" s="559"/>
      <c r="AH55" s="559"/>
      <c r="AI55" s="559"/>
      <c r="AJ55" s="207"/>
      <c r="AK55" s="208"/>
      <c r="AL55" s="208"/>
      <c r="AM55" s="209"/>
      <c r="AN55" s="209"/>
    </row>
    <row r="56" spans="1:40" s="197" customFormat="1" hidden="1">
      <c r="N56" s="210"/>
      <c r="O56" s="210"/>
      <c r="S56" s="210"/>
      <c r="AJ56" s="207"/>
      <c r="AK56" s="208"/>
      <c r="AL56" s="208"/>
      <c r="AM56" s="209"/>
      <c r="AN56" s="209"/>
    </row>
    <row r="57" spans="1:40" s="197" customFormat="1" hidden="1">
      <c r="A57" s="558" t="s">
        <v>233</v>
      </c>
      <c r="B57" s="558"/>
      <c r="C57" s="558"/>
      <c r="D57" s="558"/>
      <c r="E57" s="558"/>
      <c r="F57" s="558"/>
      <c r="G57" s="558"/>
      <c r="H57" s="558"/>
      <c r="I57" s="558"/>
      <c r="J57" s="558"/>
      <c r="K57" s="558"/>
      <c r="L57" s="558"/>
      <c r="M57" s="558"/>
      <c r="N57" s="558"/>
      <c r="O57" s="558"/>
      <c r="P57" s="558"/>
      <c r="Q57" s="558"/>
      <c r="R57" s="558"/>
      <c r="S57" s="558"/>
      <c r="T57" s="558"/>
      <c r="U57" s="558"/>
      <c r="V57" s="558"/>
      <c r="W57" s="558"/>
      <c r="X57" s="558"/>
      <c r="Y57" s="558"/>
      <c r="Z57" s="558"/>
      <c r="AA57" s="558"/>
      <c r="AB57" s="558"/>
      <c r="AC57" s="558"/>
      <c r="AD57" s="558"/>
      <c r="AE57" s="558"/>
      <c r="AF57" s="558"/>
      <c r="AG57" s="558"/>
      <c r="AH57" s="558"/>
      <c r="AI57" s="558"/>
      <c r="AJ57" s="207"/>
      <c r="AK57" s="208"/>
      <c r="AL57" s="208"/>
      <c r="AM57" s="209"/>
      <c r="AN57" s="209"/>
    </row>
    <row r="58" spans="1:40" s="197" customFormat="1" hidden="1">
      <c r="N58" s="210"/>
      <c r="O58" s="210"/>
      <c r="S58" s="210"/>
      <c r="AJ58" s="207" t="s">
        <v>234</v>
      </c>
      <c r="AK58" s="208"/>
      <c r="AL58" s="208"/>
      <c r="AM58" s="209"/>
      <c r="AN58" s="209"/>
    </row>
    <row r="59" spans="1:40" s="197" customFormat="1" hidden="1">
      <c r="A59" s="197" t="s">
        <v>235</v>
      </c>
      <c r="B59" s="560">
        <f>AJ59</f>
        <v>1</v>
      </c>
      <c r="C59" s="560"/>
      <c r="D59" s="558" t="s">
        <v>102</v>
      </c>
      <c r="E59" s="558"/>
      <c r="N59" s="210"/>
      <c r="O59" s="210"/>
      <c r="S59" s="210"/>
      <c r="AJ59" s="207">
        <v>1</v>
      </c>
      <c r="AK59" s="208"/>
      <c r="AL59" s="208"/>
      <c r="AM59" s="209"/>
      <c r="AN59" s="209"/>
    </row>
    <row r="60" spans="1:40" s="197" customFormat="1" hidden="1">
      <c r="N60" s="210"/>
      <c r="O60" s="210"/>
      <c r="S60" s="210"/>
      <c r="AJ60" s="207"/>
      <c r="AK60" s="208"/>
      <c r="AL60" s="208"/>
      <c r="AM60" s="209"/>
      <c r="AN60" s="209"/>
    </row>
    <row r="61" spans="1:40" s="197" customFormat="1" hidden="1">
      <c r="N61" s="210"/>
      <c r="O61" s="210"/>
      <c r="S61" s="210"/>
      <c r="AJ61" s="207"/>
      <c r="AK61" s="208"/>
      <c r="AL61" s="208"/>
      <c r="AM61" s="209"/>
      <c r="AN61" s="209"/>
    </row>
    <row r="62" spans="1:40" ht="15">
      <c r="A62" s="539" t="s">
        <v>180</v>
      </c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1"/>
      <c r="AJ62" s="201"/>
      <c r="AK62" s="202"/>
      <c r="AL62" s="202"/>
      <c r="AM62" s="203"/>
      <c r="AN62" s="203"/>
    </row>
    <row r="63" spans="1:40">
      <c r="AJ63" s="201"/>
      <c r="AK63" s="202"/>
      <c r="AL63" s="202"/>
      <c r="AM63" s="203"/>
      <c r="AN63" s="203"/>
    </row>
    <row r="64" spans="1:40" ht="15">
      <c r="A64" s="542" t="s">
        <v>409</v>
      </c>
      <c r="B64" s="542"/>
      <c r="C64" s="542"/>
      <c r="D64" s="542"/>
      <c r="E64" s="542"/>
      <c r="F64" s="542"/>
      <c r="G64" s="542"/>
      <c r="H64" s="542"/>
      <c r="I64" s="542"/>
      <c r="J64" s="542"/>
      <c r="K64" s="542"/>
      <c r="L64" s="542"/>
      <c r="M64" s="542"/>
      <c r="N64" s="542"/>
      <c r="O64" s="542"/>
      <c r="P64" s="542"/>
      <c r="Q64" s="542"/>
      <c r="R64" s="542"/>
      <c r="S64" s="542"/>
      <c r="T64" s="542"/>
      <c r="U64" s="542"/>
      <c r="V64" s="542"/>
      <c r="W64" s="542"/>
      <c r="X64" s="542"/>
      <c r="Y64" s="542"/>
      <c r="Z64" s="542"/>
      <c r="AA64" s="542"/>
      <c r="AB64" s="542"/>
      <c r="AC64" s="542"/>
      <c r="AD64" s="542"/>
      <c r="AE64" s="542"/>
      <c r="AF64" s="542"/>
      <c r="AG64" s="542"/>
      <c r="AH64" s="542"/>
      <c r="AI64" s="542"/>
      <c r="AJ64" s="201"/>
      <c r="AK64" s="202"/>
      <c r="AL64" s="202"/>
      <c r="AM64" s="203"/>
      <c r="AN64" s="203"/>
    </row>
    <row r="65" spans="1:40">
      <c r="AJ65" s="201"/>
      <c r="AK65" s="202"/>
      <c r="AL65" s="202"/>
      <c r="AM65" s="203"/>
      <c r="AN65" s="203"/>
    </row>
    <row r="66" spans="1:40">
      <c r="A66" s="530" t="s">
        <v>248</v>
      </c>
      <c r="B66" s="530"/>
      <c r="C66" s="530"/>
      <c r="D66" s="530"/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530"/>
      <c r="P66" s="530"/>
      <c r="Q66" s="530"/>
      <c r="R66" s="530"/>
      <c r="S66" s="530"/>
      <c r="T66" s="530"/>
      <c r="U66" s="530"/>
      <c r="V66" s="530"/>
      <c r="W66" s="530"/>
      <c r="X66" s="530"/>
      <c r="Y66" s="530"/>
      <c r="Z66" s="530"/>
      <c r="AA66" s="530"/>
      <c r="AB66" s="530"/>
      <c r="AC66" s="530"/>
      <c r="AD66" s="530"/>
      <c r="AE66" s="530"/>
      <c r="AF66" s="530"/>
      <c r="AG66" s="530"/>
      <c r="AH66" s="530"/>
      <c r="AI66" s="530"/>
      <c r="AJ66" s="201"/>
      <c r="AK66" s="202"/>
      <c r="AL66" s="202"/>
      <c r="AM66" s="203"/>
      <c r="AN66" s="203"/>
    </row>
    <row r="67" spans="1:40">
      <c r="A67" s="526"/>
      <c r="B67" s="526"/>
      <c r="C67" s="526"/>
      <c r="D67" s="526"/>
      <c r="E67" s="526"/>
      <c r="F67" s="526"/>
      <c r="G67" s="526"/>
      <c r="H67" s="526"/>
      <c r="I67" s="526"/>
      <c r="J67" s="526"/>
      <c r="K67" s="526"/>
      <c r="L67" s="526"/>
      <c r="M67" s="526"/>
      <c r="N67" s="526"/>
      <c r="O67" s="526"/>
      <c r="P67" s="526"/>
      <c r="Q67" s="526"/>
      <c r="R67" s="526"/>
      <c r="S67" s="526"/>
      <c r="T67" s="526"/>
      <c r="U67" s="526"/>
      <c r="V67" s="526"/>
      <c r="W67" s="526"/>
      <c r="X67" s="526"/>
      <c r="Y67" s="526"/>
      <c r="Z67" s="526"/>
      <c r="AA67" s="526"/>
      <c r="AB67" s="526"/>
      <c r="AC67" s="526"/>
      <c r="AD67" s="526"/>
      <c r="AE67" s="526"/>
      <c r="AF67" s="526"/>
      <c r="AG67" s="526"/>
      <c r="AH67" s="526"/>
      <c r="AI67" s="526"/>
      <c r="AJ67" s="212"/>
      <c r="AK67" s="212"/>
      <c r="AL67" s="212"/>
      <c r="AM67" s="213"/>
      <c r="AN67" s="203"/>
    </row>
    <row r="68" spans="1:40">
      <c r="A68" s="200" t="s">
        <v>174</v>
      </c>
      <c r="B68" s="543">
        <f>AJ76</f>
        <v>290</v>
      </c>
      <c r="C68" s="530"/>
      <c r="D68" s="200" t="s">
        <v>148</v>
      </c>
      <c r="E68" s="214" t="s">
        <v>175</v>
      </c>
      <c r="F68" s="205"/>
      <c r="G68" s="543">
        <f>AK76</f>
        <v>5.8</v>
      </c>
      <c r="H68" s="543"/>
      <c r="I68" s="200" t="s">
        <v>148</v>
      </c>
      <c r="J68" s="214"/>
      <c r="K68" s="199"/>
      <c r="L68" s="199"/>
      <c r="N68" s="198"/>
      <c r="P68" s="199"/>
      <c r="AJ68" s="201"/>
      <c r="AK68" s="201"/>
      <c r="AL68" s="201"/>
      <c r="AM68" s="201"/>
      <c r="AN68" s="203"/>
    </row>
    <row r="69" spans="1:40">
      <c r="A69" s="200" t="s">
        <v>443</v>
      </c>
      <c r="B69" s="199"/>
      <c r="E69" s="525">
        <f>E17</f>
        <v>33.130000000000003</v>
      </c>
      <c r="F69" s="525"/>
      <c r="G69" s="199"/>
      <c r="H69" s="199"/>
      <c r="J69" s="214"/>
      <c r="K69" s="199"/>
      <c r="L69" s="199"/>
      <c r="N69" s="198"/>
      <c r="P69" s="199"/>
      <c r="AJ69" s="201"/>
      <c r="AK69" s="201"/>
      <c r="AL69" s="201"/>
      <c r="AM69" s="201"/>
      <c r="AN69" s="203"/>
    </row>
    <row r="70" spans="1:40">
      <c r="A70" s="200" t="s">
        <v>174</v>
      </c>
      <c r="B70" s="532">
        <f>B68*G68+E69</f>
        <v>1715.13</v>
      </c>
      <c r="C70" s="532"/>
      <c r="D70" s="532"/>
      <c r="E70" s="206" t="s">
        <v>85</v>
      </c>
      <c r="AJ70" s="201"/>
      <c r="AK70" s="202"/>
      <c r="AL70" s="202"/>
      <c r="AM70" s="203"/>
      <c r="AN70" s="203"/>
    </row>
    <row r="71" spans="1:40">
      <c r="F71" s="216"/>
      <c r="G71" s="216"/>
      <c r="N71" s="200"/>
      <c r="O71" s="200"/>
      <c r="S71" s="200"/>
      <c r="AJ71" s="201"/>
      <c r="AK71" s="202"/>
      <c r="AL71" s="202"/>
      <c r="AM71" s="203"/>
      <c r="AN71" s="203"/>
    </row>
    <row r="72" spans="1:40" ht="13.5" customHeight="1">
      <c r="A72" s="544" t="s">
        <v>372</v>
      </c>
      <c r="B72" s="544"/>
      <c r="C72" s="544"/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  <c r="R72" s="544"/>
      <c r="S72" s="544"/>
      <c r="T72" s="544"/>
      <c r="U72" s="544"/>
      <c r="V72" s="544"/>
      <c r="W72" s="544"/>
      <c r="X72" s="544"/>
      <c r="Y72" s="544"/>
      <c r="Z72" s="544"/>
      <c r="AA72" s="544"/>
      <c r="AB72" s="544"/>
      <c r="AC72" s="544"/>
      <c r="AD72" s="544"/>
      <c r="AE72" s="544"/>
      <c r="AF72" s="544"/>
      <c r="AG72" s="544"/>
      <c r="AH72" s="544"/>
      <c r="AI72" s="544"/>
      <c r="AJ72" s="201"/>
      <c r="AK72" s="202"/>
      <c r="AL72" s="202"/>
      <c r="AM72" s="203"/>
      <c r="AN72" s="203"/>
    </row>
    <row r="73" spans="1:40">
      <c r="AJ73" s="201"/>
      <c r="AK73" s="202"/>
      <c r="AL73" s="202"/>
      <c r="AM73" s="203"/>
      <c r="AN73" s="203"/>
    </row>
    <row r="74" spans="1:40">
      <c r="A74" s="530" t="s">
        <v>390</v>
      </c>
      <c r="B74" s="530"/>
      <c r="C74" s="530"/>
      <c r="D74" s="530"/>
      <c r="E74" s="530"/>
      <c r="F74" s="530"/>
      <c r="G74" s="530"/>
      <c r="H74" s="530"/>
      <c r="I74" s="530"/>
      <c r="J74" s="530"/>
      <c r="K74" s="530"/>
      <c r="L74" s="530"/>
      <c r="M74" s="530"/>
      <c r="N74" s="530"/>
      <c r="O74" s="530"/>
      <c r="P74" s="530"/>
      <c r="Q74" s="530"/>
      <c r="R74" s="530"/>
      <c r="S74" s="530"/>
      <c r="T74" s="530"/>
      <c r="U74" s="530"/>
      <c r="V74" s="530"/>
      <c r="W74" s="530"/>
      <c r="X74" s="530"/>
      <c r="Y74" s="530"/>
      <c r="Z74" s="530"/>
      <c r="AA74" s="530"/>
      <c r="AB74" s="530"/>
      <c r="AC74" s="530"/>
      <c r="AD74" s="530"/>
      <c r="AE74" s="530"/>
      <c r="AF74" s="530"/>
      <c r="AG74" s="530"/>
      <c r="AH74" s="530"/>
      <c r="AI74" s="530"/>
      <c r="AJ74" s="201"/>
      <c r="AK74" s="202"/>
      <c r="AL74" s="202"/>
      <c r="AM74" s="203"/>
      <c r="AN74" s="203"/>
    </row>
    <row r="75" spans="1:40">
      <c r="AJ75" s="212" t="s">
        <v>181</v>
      </c>
      <c r="AK75" s="212" t="s">
        <v>182</v>
      </c>
      <c r="AL75" s="212" t="s">
        <v>183</v>
      </c>
      <c r="AM75" s="213" t="s">
        <v>184</v>
      </c>
      <c r="AN75" s="203"/>
    </row>
    <row r="76" spans="1:40">
      <c r="A76" s="200" t="s">
        <v>174</v>
      </c>
      <c r="B76" s="543">
        <f>AJ76</f>
        <v>290</v>
      </c>
      <c r="C76" s="543"/>
      <c r="D76" s="200" t="s">
        <v>148</v>
      </c>
      <c r="E76" s="214" t="s">
        <v>175</v>
      </c>
      <c r="F76" s="205"/>
      <c r="G76" s="543">
        <f>AK76</f>
        <v>5.8</v>
      </c>
      <c r="H76" s="543"/>
      <c r="I76" s="200" t="s">
        <v>148</v>
      </c>
      <c r="J76" s="214"/>
      <c r="K76" s="543"/>
      <c r="L76" s="543"/>
      <c r="N76" s="198"/>
      <c r="O76" s="543"/>
      <c r="P76" s="543"/>
      <c r="AJ76" s="201">
        <v>290</v>
      </c>
      <c r="AK76" s="201">
        <v>5.8</v>
      </c>
      <c r="AL76" s="201">
        <v>1.05</v>
      </c>
      <c r="AM76" s="201">
        <v>1.05</v>
      </c>
      <c r="AN76" s="203"/>
    </row>
    <row r="77" spans="1:40">
      <c r="A77" s="200" t="s">
        <v>443</v>
      </c>
      <c r="B77" s="199"/>
      <c r="E77" s="525">
        <f>E17</f>
        <v>33.130000000000003</v>
      </c>
      <c r="F77" s="525"/>
      <c r="G77" s="199"/>
      <c r="H77" s="199"/>
      <c r="J77" s="214"/>
      <c r="K77" s="199"/>
      <c r="L77" s="199"/>
      <c r="N77" s="198"/>
      <c r="P77" s="199"/>
      <c r="AJ77" s="201"/>
      <c r="AK77" s="201"/>
      <c r="AL77" s="201"/>
      <c r="AM77" s="201"/>
      <c r="AN77" s="203"/>
    </row>
    <row r="78" spans="1:40">
      <c r="B78" s="199"/>
      <c r="C78" s="199"/>
      <c r="E78" s="199"/>
      <c r="F78" s="528"/>
      <c r="G78" s="528"/>
      <c r="H78" s="199"/>
      <c r="J78" s="214"/>
      <c r="K78" s="205"/>
      <c r="L78" s="199"/>
      <c r="M78" s="199"/>
      <c r="P78" s="199"/>
      <c r="Q78" s="199"/>
      <c r="S78" s="198"/>
      <c r="T78" s="198"/>
      <c r="AJ78" s="201"/>
      <c r="AK78" s="202"/>
      <c r="AL78" s="202"/>
      <c r="AM78" s="203"/>
      <c r="AN78" s="203"/>
    </row>
    <row r="79" spans="1:40">
      <c r="A79" s="200" t="s">
        <v>174</v>
      </c>
      <c r="B79" s="543">
        <f>(B76*G76)+E77</f>
        <v>1715.13</v>
      </c>
      <c r="C79" s="543"/>
      <c r="D79" s="543"/>
      <c r="E79" s="200" t="s">
        <v>85</v>
      </c>
      <c r="AJ79" s="201"/>
      <c r="AK79" s="202"/>
      <c r="AL79" s="202"/>
      <c r="AM79" s="203"/>
      <c r="AN79" s="203"/>
    </row>
    <row r="80" spans="1:40">
      <c r="AJ80" s="201"/>
      <c r="AK80" s="202">
        <f>AJ76*AK76</f>
        <v>1682</v>
      </c>
      <c r="AL80" s="202"/>
      <c r="AM80" s="203"/>
      <c r="AN80" s="203"/>
    </row>
    <row r="81" spans="1:40" ht="14.25" customHeight="1">
      <c r="A81" s="544" t="s">
        <v>383</v>
      </c>
      <c r="B81" s="544"/>
      <c r="C81" s="544"/>
      <c r="D81" s="544"/>
      <c r="E81" s="544"/>
      <c r="F81" s="544"/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544"/>
      <c r="U81" s="544"/>
      <c r="V81" s="544"/>
      <c r="W81" s="544"/>
      <c r="X81" s="544"/>
      <c r="Y81" s="544"/>
      <c r="Z81" s="544"/>
      <c r="AA81" s="544"/>
      <c r="AB81" s="544"/>
      <c r="AC81" s="544"/>
      <c r="AD81" s="544"/>
      <c r="AE81" s="544"/>
      <c r="AF81" s="544"/>
      <c r="AG81" s="544"/>
      <c r="AH81" s="544"/>
      <c r="AI81" s="544"/>
      <c r="AJ81" s="201"/>
      <c r="AK81" s="202"/>
      <c r="AL81" s="202"/>
      <c r="AM81" s="203"/>
      <c r="AN81" s="203"/>
    </row>
    <row r="82" spans="1:40">
      <c r="AJ82" s="201"/>
      <c r="AK82" s="202"/>
      <c r="AL82" s="202"/>
      <c r="AM82" s="203"/>
      <c r="AN82" s="203"/>
    </row>
    <row r="83" spans="1:40">
      <c r="A83" s="526" t="s">
        <v>188</v>
      </c>
      <c r="B83" s="526"/>
      <c r="C83" s="526"/>
      <c r="D83" s="526"/>
      <c r="F83" s="531">
        <v>80.59</v>
      </c>
      <c r="G83" s="531"/>
      <c r="H83" s="200" t="s">
        <v>148</v>
      </c>
      <c r="AJ83" s="201"/>
      <c r="AK83" s="202"/>
      <c r="AL83" s="202"/>
      <c r="AM83" s="203"/>
      <c r="AN83" s="203"/>
    </row>
    <row r="84" spans="1:40">
      <c r="A84" s="526" t="s">
        <v>189</v>
      </c>
      <c r="B84" s="526"/>
      <c r="C84" s="526"/>
      <c r="D84" s="526"/>
      <c r="F84" s="531">
        <v>90.66</v>
      </c>
      <c r="G84" s="531"/>
      <c r="H84" s="200" t="s">
        <v>148</v>
      </c>
      <c r="N84" s="200"/>
      <c r="O84" s="200"/>
      <c r="P84" s="199"/>
      <c r="Q84" s="199"/>
      <c r="S84" s="200"/>
      <c r="U84" s="199"/>
      <c r="AJ84" s="201"/>
      <c r="AK84" s="202"/>
      <c r="AL84" s="202"/>
      <c r="AM84" s="203"/>
      <c r="AN84" s="203"/>
    </row>
    <row r="85" spans="1:40">
      <c r="A85" s="526" t="s">
        <v>190</v>
      </c>
      <c r="B85" s="526"/>
      <c r="C85" s="526"/>
      <c r="D85" s="526"/>
      <c r="F85" s="531">
        <v>103.08</v>
      </c>
      <c r="G85" s="531"/>
      <c r="H85" s="200" t="s">
        <v>148</v>
      </c>
      <c r="N85" s="200"/>
      <c r="O85" s="200"/>
      <c r="P85" s="199"/>
      <c r="Q85" s="199"/>
      <c r="S85" s="200"/>
      <c r="U85" s="199"/>
      <c r="AJ85" s="201"/>
      <c r="AK85" s="202"/>
      <c r="AL85" s="202"/>
      <c r="AM85" s="203"/>
      <c r="AN85" s="203"/>
    </row>
    <row r="86" spans="1:40">
      <c r="A86" s="526" t="s">
        <v>379</v>
      </c>
      <c r="B86" s="526"/>
      <c r="C86" s="526"/>
      <c r="D86" s="526"/>
      <c r="F86" s="531">
        <v>5.68</v>
      </c>
      <c r="G86" s="531"/>
      <c r="H86" s="200" t="s">
        <v>148</v>
      </c>
      <c r="N86" s="200"/>
      <c r="O86" s="200"/>
      <c r="P86" s="199"/>
      <c r="Q86" s="199"/>
      <c r="S86" s="200"/>
      <c r="U86" s="199"/>
      <c r="AJ86" s="201"/>
      <c r="AK86" s="202"/>
      <c r="AL86" s="202"/>
      <c r="AM86" s="203"/>
      <c r="AN86" s="203"/>
    </row>
    <row r="87" spans="1:40">
      <c r="A87" s="526" t="s">
        <v>384</v>
      </c>
      <c r="B87" s="526"/>
      <c r="C87" s="526"/>
      <c r="D87" s="526"/>
      <c r="F87" s="531">
        <v>80.81</v>
      </c>
      <c r="G87" s="531"/>
      <c r="H87" s="200" t="s">
        <v>148</v>
      </c>
      <c r="N87" s="200"/>
      <c r="O87" s="200"/>
      <c r="P87" s="199"/>
      <c r="Q87" s="199"/>
      <c r="S87" s="200"/>
      <c r="U87" s="199"/>
      <c r="AJ87" s="201"/>
      <c r="AK87" s="202"/>
      <c r="AL87" s="202"/>
      <c r="AM87" s="203"/>
      <c r="AN87" s="203"/>
    </row>
    <row r="88" spans="1:40">
      <c r="A88" s="526" t="s">
        <v>385</v>
      </c>
      <c r="B88" s="526"/>
      <c r="C88" s="526"/>
      <c r="D88" s="526"/>
      <c r="F88" s="531">
        <v>196.44</v>
      </c>
      <c r="G88" s="531"/>
      <c r="H88" s="200" t="s">
        <v>148</v>
      </c>
      <c r="N88" s="200"/>
      <c r="O88" s="200"/>
      <c r="P88" s="199"/>
      <c r="Q88" s="199"/>
      <c r="S88" s="200"/>
      <c r="U88" s="199"/>
      <c r="AJ88" s="201"/>
      <c r="AK88" s="202"/>
      <c r="AL88" s="202"/>
      <c r="AM88" s="203"/>
      <c r="AN88" s="203"/>
    </row>
    <row r="89" spans="1:40">
      <c r="A89" s="526" t="s">
        <v>386</v>
      </c>
      <c r="B89" s="526"/>
      <c r="C89" s="526"/>
      <c r="D89" s="526"/>
      <c r="F89" s="531">
        <v>5.67</v>
      </c>
      <c r="G89" s="531"/>
      <c r="H89" s="200" t="s">
        <v>148</v>
      </c>
      <c r="N89" s="200"/>
      <c r="O89" s="200"/>
      <c r="P89" s="199"/>
      <c r="Q89" s="199"/>
      <c r="S89" s="200"/>
      <c r="U89" s="199"/>
      <c r="AJ89" s="201"/>
      <c r="AK89" s="202"/>
      <c r="AL89" s="202"/>
      <c r="AM89" s="203"/>
      <c r="AN89" s="203"/>
    </row>
    <row r="90" spans="1:40">
      <c r="A90" s="215"/>
      <c r="B90" s="215"/>
      <c r="C90" s="215"/>
      <c r="D90" s="215"/>
      <c r="F90" s="216"/>
      <c r="G90" s="216"/>
      <c r="N90" s="200"/>
      <c r="O90" s="200"/>
      <c r="P90" s="199"/>
      <c r="Q90" s="199"/>
      <c r="S90" s="200"/>
      <c r="U90" s="199"/>
      <c r="AJ90" s="201"/>
      <c r="AK90" s="202"/>
      <c r="AL90" s="202"/>
      <c r="AM90" s="203"/>
      <c r="AN90" s="203"/>
    </row>
    <row r="91" spans="1:40">
      <c r="A91" s="215" t="s">
        <v>191</v>
      </c>
      <c r="B91" s="215"/>
      <c r="C91" s="215"/>
      <c r="D91" s="215"/>
      <c r="F91" s="531">
        <f>SUM(F83:G90)</f>
        <v>562.92999999999995</v>
      </c>
      <c r="G91" s="531"/>
      <c r="H91" s="200" t="s">
        <v>148</v>
      </c>
      <c r="N91" s="200"/>
      <c r="O91" s="200"/>
      <c r="P91" s="199"/>
      <c r="Q91" s="199"/>
      <c r="S91" s="200"/>
      <c r="U91" s="199"/>
      <c r="AJ91" s="201"/>
      <c r="AK91" s="202"/>
      <c r="AL91" s="202"/>
      <c r="AM91" s="203"/>
      <c r="AN91" s="203"/>
    </row>
    <row r="92" spans="1:40">
      <c r="AJ92" s="201"/>
      <c r="AK92" s="202"/>
      <c r="AL92" s="202"/>
      <c r="AM92" s="203"/>
      <c r="AN92" s="203"/>
    </row>
    <row r="93" spans="1:40" ht="15">
      <c r="A93" s="542" t="s">
        <v>422</v>
      </c>
      <c r="B93" s="542"/>
      <c r="C93" s="542"/>
      <c r="D93" s="542"/>
      <c r="E93" s="542"/>
      <c r="F93" s="542"/>
      <c r="G93" s="542"/>
      <c r="H93" s="542"/>
      <c r="I93" s="542"/>
      <c r="J93" s="542"/>
      <c r="K93" s="542"/>
      <c r="L93" s="542"/>
      <c r="M93" s="542"/>
      <c r="N93" s="542"/>
      <c r="O93" s="542"/>
      <c r="P93" s="542"/>
      <c r="Q93" s="542"/>
      <c r="R93" s="542"/>
      <c r="S93" s="542"/>
      <c r="T93" s="542"/>
      <c r="U93" s="542"/>
      <c r="V93" s="542"/>
      <c r="W93" s="542"/>
      <c r="X93" s="542"/>
      <c r="Y93" s="542"/>
      <c r="Z93" s="542"/>
      <c r="AA93" s="542"/>
      <c r="AB93" s="542"/>
      <c r="AC93" s="542"/>
      <c r="AD93" s="542"/>
      <c r="AE93" s="542"/>
      <c r="AF93" s="542"/>
      <c r="AG93" s="542"/>
      <c r="AH93" s="542"/>
      <c r="AI93" s="542"/>
      <c r="AJ93" s="201"/>
      <c r="AK93" s="202"/>
      <c r="AL93" s="202"/>
      <c r="AM93" s="203"/>
      <c r="AN93" s="203"/>
    </row>
    <row r="94" spans="1:40">
      <c r="AJ94" s="201"/>
      <c r="AK94" s="202"/>
      <c r="AL94" s="202"/>
      <c r="AM94" s="203"/>
      <c r="AN94" s="203"/>
    </row>
    <row r="95" spans="1:40">
      <c r="A95" s="530" t="s">
        <v>192</v>
      </c>
      <c r="B95" s="530"/>
      <c r="C95" s="530"/>
      <c r="D95" s="530"/>
      <c r="E95" s="530"/>
      <c r="F95" s="530"/>
      <c r="G95" s="530"/>
      <c r="H95" s="530"/>
      <c r="I95" s="530"/>
      <c r="J95" s="530"/>
      <c r="K95" s="530"/>
      <c r="L95" s="530"/>
      <c r="M95" s="530"/>
      <c r="N95" s="530"/>
      <c r="O95" s="530"/>
      <c r="P95" s="530"/>
      <c r="Q95" s="530"/>
      <c r="R95" s="530"/>
      <c r="S95" s="530"/>
      <c r="T95" s="530"/>
      <c r="U95" s="530"/>
      <c r="V95" s="530"/>
      <c r="W95" s="530"/>
      <c r="X95" s="530"/>
      <c r="Y95" s="530"/>
      <c r="Z95" s="530"/>
      <c r="AA95" s="530"/>
      <c r="AB95" s="530"/>
      <c r="AC95" s="530"/>
      <c r="AD95" s="530"/>
      <c r="AE95" s="530"/>
      <c r="AF95" s="530"/>
      <c r="AG95" s="530"/>
      <c r="AH95" s="530"/>
      <c r="AI95" s="530"/>
      <c r="AJ95" s="548" t="s">
        <v>193</v>
      </c>
      <c r="AK95" s="548"/>
      <c r="AL95" s="202"/>
      <c r="AM95" s="203"/>
      <c r="AN95" s="203"/>
    </row>
    <row r="96" spans="1:40">
      <c r="AJ96" s="202">
        <v>3</v>
      </c>
      <c r="AK96" s="203"/>
      <c r="AL96" s="202"/>
      <c r="AM96" s="203"/>
      <c r="AN96" s="203"/>
    </row>
    <row r="97" spans="1:40">
      <c r="A97" s="200" t="s">
        <v>174</v>
      </c>
      <c r="B97" s="543">
        <f>AK76</f>
        <v>5.8</v>
      </c>
      <c r="C97" s="543"/>
      <c r="D97" s="543"/>
      <c r="E97" s="200" t="s">
        <v>148</v>
      </c>
      <c r="F97" s="214" t="s">
        <v>175</v>
      </c>
      <c r="G97" s="543">
        <f>AJ96</f>
        <v>3</v>
      </c>
      <c r="H97" s="543"/>
      <c r="I97" s="200" t="s">
        <v>194</v>
      </c>
      <c r="J97" s="214"/>
      <c r="K97" s="205"/>
      <c r="L97" s="199"/>
      <c r="M97" s="199"/>
      <c r="P97" s="199"/>
      <c r="Q97" s="199"/>
      <c r="T97" s="199"/>
      <c r="AJ97" s="201"/>
      <c r="AK97" s="202"/>
      <c r="AL97" s="202"/>
      <c r="AM97" s="203"/>
      <c r="AN97" s="203"/>
    </row>
    <row r="98" spans="1:40">
      <c r="A98" s="200" t="s">
        <v>174</v>
      </c>
      <c r="B98" s="543">
        <f>B97*G97</f>
        <v>17.399999999999999</v>
      </c>
      <c r="C98" s="543"/>
      <c r="D98" s="543"/>
      <c r="E98" s="200" t="s">
        <v>148</v>
      </c>
      <c r="AJ98" s="201"/>
      <c r="AK98" s="202"/>
      <c r="AL98" s="202"/>
      <c r="AM98" s="203"/>
      <c r="AN98" s="203"/>
    </row>
    <row r="99" spans="1:40">
      <c r="AJ99" s="201"/>
      <c r="AK99" s="202"/>
      <c r="AL99" s="202"/>
      <c r="AM99" s="203"/>
      <c r="AN99" s="203"/>
    </row>
    <row r="100" spans="1:40" ht="31.5" customHeight="1">
      <c r="A100" s="544" t="s">
        <v>423</v>
      </c>
      <c r="B100" s="544"/>
      <c r="C100" s="544"/>
      <c r="D100" s="544"/>
      <c r="E100" s="544"/>
      <c r="F100" s="544"/>
      <c r="G100" s="544"/>
      <c r="H100" s="544"/>
      <c r="I100" s="544"/>
      <c r="J100" s="544"/>
      <c r="K100" s="544"/>
      <c r="L100" s="544"/>
      <c r="M100" s="544"/>
      <c r="N100" s="544"/>
      <c r="O100" s="544"/>
      <c r="P100" s="544"/>
      <c r="Q100" s="544"/>
      <c r="R100" s="544"/>
      <c r="S100" s="544"/>
      <c r="T100" s="544"/>
      <c r="U100" s="544"/>
      <c r="V100" s="544"/>
      <c r="W100" s="544"/>
      <c r="X100" s="544"/>
      <c r="Y100" s="544"/>
      <c r="Z100" s="544"/>
      <c r="AA100" s="544"/>
      <c r="AB100" s="544"/>
      <c r="AC100" s="544"/>
      <c r="AD100" s="544"/>
      <c r="AE100" s="544"/>
      <c r="AF100" s="544"/>
      <c r="AG100" s="544"/>
      <c r="AH100" s="544"/>
      <c r="AI100" s="544"/>
      <c r="AJ100" s="201"/>
      <c r="AK100" s="202"/>
      <c r="AL100" s="202"/>
      <c r="AM100" s="203"/>
      <c r="AN100" s="203"/>
    </row>
    <row r="101" spans="1:40" ht="15">
      <c r="A101" s="217"/>
      <c r="B101" s="217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01"/>
      <c r="AK101" s="202"/>
      <c r="AL101" s="202"/>
      <c r="AM101" s="203"/>
      <c r="AN101" s="203"/>
    </row>
    <row r="102" spans="1:40">
      <c r="A102" s="526" t="s">
        <v>188</v>
      </c>
      <c r="B102" s="526"/>
      <c r="C102" s="526"/>
      <c r="D102" s="526"/>
      <c r="F102" s="531">
        <f t="shared" ref="F102:F108" si="0">F83</f>
        <v>80.59</v>
      </c>
      <c r="G102" s="531"/>
      <c r="H102" s="526" t="s">
        <v>196</v>
      </c>
      <c r="I102" s="526"/>
      <c r="J102" s="531">
        <v>1</v>
      </c>
      <c r="K102" s="531"/>
      <c r="L102" s="526" t="s">
        <v>197</v>
      </c>
      <c r="M102" s="526"/>
      <c r="N102" s="532">
        <f>F102*J102</f>
        <v>80.59</v>
      </c>
      <c r="O102" s="532"/>
      <c r="P102" s="200" t="s">
        <v>148</v>
      </c>
      <c r="AJ102" s="201"/>
      <c r="AK102" s="202"/>
      <c r="AL102" s="202"/>
      <c r="AM102" s="203"/>
      <c r="AN102" s="203"/>
    </row>
    <row r="103" spans="1:40">
      <c r="A103" s="526" t="s">
        <v>189</v>
      </c>
      <c r="B103" s="526"/>
      <c r="C103" s="526"/>
      <c r="D103" s="526"/>
      <c r="F103" s="531">
        <f t="shared" si="0"/>
        <v>90.66</v>
      </c>
      <c r="G103" s="531"/>
      <c r="H103" s="526" t="s">
        <v>196</v>
      </c>
      <c r="I103" s="526"/>
      <c r="J103" s="531">
        <v>1</v>
      </c>
      <c r="K103" s="531"/>
      <c r="L103" s="526" t="s">
        <v>197</v>
      </c>
      <c r="M103" s="526"/>
      <c r="N103" s="532">
        <f>F103*J103</f>
        <v>90.66</v>
      </c>
      <c r="O103" s="532"/>
      <c r="P103" s="200" t="s">
        <v>148</v>
      </c>
      <c r="AJ103" s="201"/>
      <c r="AK103" s="202"/>
      <c r="AL103" s="202"/>
      <c r="AM103" s="203"/>
      <c r="AN103" s="203"/>
    </row>
    <row r="104" spans="1:40">
      <c r="A104" s="526" t="s">
        <v>190</v>
      </c>
      <c r="B104" s="526"/>
      <c r="C104" s="526"/>
      <c r="D104" s="526"/>
      <c r="F104" s="531">
        <f t="shared" si="0"/>
        <v>103.08</v>
      </c>
      <c r="G104" s="531"/>
      <c r="H104" s="526" t="s">
        <v>196</v>
      </c>
      <c r="I104" s="526"/>
      <c r="J104" s="531">
        <v>1</v>
      </c>
      <c r="K104" s="531"/>
      <c r="L104" s="526" t="s">
        <v>197</v>
      </c>
      <c r="M104" s="526"/>
      <c r="N104" s="532">
        <f>F104*J104</f>
        <v>103.08</v>
      </c>
      <c r="O104" s="532"/>
      <c r="P104" s="200" t="s">
        <v>148</v>
      </c>
      <c r="AJ104" s="201"/>
      <c r="AK104" s="202"/>
      <c r="AL104" s="202"/>
      <c r="AM104" s="203"/>
      <c r="AN104" s="203"/>
    </row>
    <row r="105" spans="1:40">
      <c r="A105" s="526" t="s">
        <v>379</v>
      </c>
      <c r="B105" s="526"/>
      <c r="C105" s="526"/>
      <c r="D105" s="526"/>
      <c r="F105" s="531">
        <f t="shared" si="0"/>
        <v>5.68</v>
      </c>
      <c r="G105" s="531"/>
      <c r="H105" s="526" t="s">
        <v>196</v>
      </c>
      <c r="I105" s="526"/>
      <c r="J105" s="531">
        <v>1</v>
      </c>
      <c r="K105" s="531"/>
      <c r="L105" s="526" t="s">
        <v>197</v>
      </c>
      <c r="M105" s="526"/>
      <c r="N105" s="532">
        <f t="shared" ref="N105:N108" si="1">F105*J105</f>
        <v>5.68</v>
      </c>
      <c r="O105" s="532"/>
      <c r="P105" s="200" t="s">
        <v>148</v>
      </c>
      <c r="AJ105" s="201"/>
      <c r="AK105" s="202"/>
      <c r="AL105" s="202"/>
      <c r="AM105" s="203"/>
      <c r="AN105" s="203"/>
    </row>
    <row r="106" spans="1:40">
      <c r="A106" s="526" t="s">
        <v>384</v>
      </c>
      <c r="B106" s="526"/>
      <c r="C106" s="526"/>
      <c r="D106" s="526"/>
      <c r="F106" s="531">
        <f t="shared" si="0"/>
        <v>80.81</v>
      </c>
      <c r="G106" s="531"/>
      <c r="H106" s="526" t="s">
        <v>196</v>
      </c>
      <c r="I106" s="526"/>
      <c r="J106" s="531">
        <v>1</v>
      </c>
      <c r="K106" s="531"/>
      <c r="L106" s="526" t="s">
        <v>197</v>
      </c>
      <c r="M106" s="526"/>
      <c r="N106" s="532">
        <f t="shared" si="1"/>
        <v>80.81</v>
      </c>
      <c r="O106" s="532"/>
      <c r="P106" s="200" t="s">
        <v>148</v>
      </c>
      <c r="AJ106" s="201"/>
      <c r="AK106" s="202"/>
      <c r="AL106" s="202"/>
      <c r="AM106" s="203"/>
      <c r="AN106" s="203"/>
    </row>
    <row r="107" spans="1:40">
      <c r="A107" s="526" t="s">
        <v>385</v>
      </c>
      <c r="B107" s="526"/>
      <c r="C107" s="526"/>
      <c r="D107" s="526"/>
      <c r="F107" s="531">
        <f t="shared" si="0"/>
        <v>196.44</v>
      </c>
      <c r="G107" s="531"/>
      <c r="H107" s="526" t="s">
        <v>196</v>
      </c>
      <c r="I107" s="526"/>
      <c r="J107" s="531">
        <v>1</v>
      </c>
      <c r="K107" s="531"/>
      <c r="L107" s="526" t="s">
        <v>197</v>
      </c>
      <c r="M107" s="526"/>
      <c r="N107" s="532">
        <f t="shared" si="1"/>
        <v>196.44</v>
      </c>
      <c r="O107" s="532"/>
      <c r="P107" s="200" t="s">
        <v>148</v>
      </c>
      <c r="AJ107" s="201"/>
      <c r="AK107" s="202"/>
      <c r="AL107" s="202"/>
      <c r="AM107" s="203"/>
      <c r="AN107" s="203"/>
    </row>
    <row r="108" spans="1:40">
      <c r="A108" s="526" t="s">
        <v>386</v>
      </c>
      <c r="B108" s="526"/>
      <c r="C108" s="526"/>
      <c r="D108" s="526"/>
      <c r="F108" s="531">
        <f t="shared" si="0"/>
        <v>5.67</v>
      </c>
      <c r="G108" s="531"/>
      <c r="H108" s="526" t="s">
        <v>196</v>
      </c>
      <c r="I108" s="526"/>
      <c r="J108" s="531">
        <v>1</v>
      </c>
      <c r="K108" s="531"/>
      <c r="L108" s="526" t="s">
        <v>197</v>
      </c>
      <c r="M108" s="526"/>
      <c r="N108" s="532">
        <f t="shared" si="1"/>
        <v>5.67</v>
      </c>
      <c r="O108" s="532"/>
      <c r="P108" s="200" t="s">
        <v>148</v>
      </c>
      <c r="AJ108" s="201"/>
      <c r="AK108" s="202"/>
      <c r="AL108" s="202"/>
      <c r="AM108" s="203"/>
      <c r="AN108" s="203"/>
    </row>
    <row r="109" spans="1:40">
      <c r="A109" s="200" t="s">
        <v>185</v>
      </c>
      <c r="C109" s="531">
        <f>SUM(N102:O108)</f>
        <v>562.92999999999995</v>
      </c>
      <c r="D109" s="533"/>
      <c r="E109" s="526" t="s">
        <v>196</v>
      </c>
      <c r="F109" s="526"/>
      <c r="G109" s="533">
        <f>1.2-0.15</f>
        <v>1.05</v>
      </c>
      <c r="H109" s="533"/>
      <c r="I109" s="526" t="s">
        <v>198</v>
      </c>
      <c r="J109" s="526"/>
      <c r="K109" s="525">
        <f>C109*G109</f>
        <v>591.08000000000004</v>
      </c>
      <c r="L109" s="525"/>
      <c r="M109" s="200" t="s">
        <v>85</v>
      </c>
      <c r="N109" s="204"/>
      <c r="O109" s="204"/>
      <c r="AJ109" s="201"/>
      <c r="AK109" s="202"/>
      <c r="AL109" s="202"/>
      <c r="AM109" s="203"/>
      <c r="AN109" s="203"/>
    </row>
    <row r="110" spans="1:40">
      <c r="F110" s="216"/>
      <c r="G110" s="216"/>
      <c r="H110" s="215"/>
      <c r="I110" s="215"/>
      <c r="J110" s="216"/>
      <c r="K110" s="216"/>
      <c r="L110" s="215"/>
      <c r="M110" s="215"/>
      <c r="N110" s="204"/>
      <c r="O110" s="204"/>
      <c r="AJ110" s="201"/>
      <c r="AK110" s="202"/>
      <c r="AL110" s="202"/>
      <c r="AM110" s="203"/>
      <c r="AN110" s="203"/>
    </row>
    <row r="111" spans="1:40">
      <c r="A111" s="200" t="s">
        <v>199</v>
      </c>
      <c r="E111" s="205"/>
      <c r="F111" s="205"/>
      <c r="H111" s="216"/>
      <c r="I111" s="216"/>
      <c r="J111" s="215"/>
      <c r="K111" s="215"/>
      <c r="L111" s="216"/>
      <c r="M111" s="216"/>
      <c r="AJ111" s="201"/>
      <c r="AK111" s="202"/>
      <c r="AL111" s="202"/>
      <c r="AM111" s="203"/>
      <c r="AN111" s="203"/>
    </row>
    <row r="112" spans="1:40">
      <c r="A112" s="526" t="s">
        <v>200</v>
      </c>
      <c r="B112" s="526"/>
      <c r="C112" s="526"/>
      <c r="D112" s="526"/>
      <c r="F112" s="531">
        <f>C143</f>
        <v>120.73</v>
      </c>
      <c r="G112" s="531"/>
      <c r="H112" s="526" t="s">
        <v>85</v>
      </c>
      <c r="I112" s="526"/>
      <c r="J112" s="531"/>
      <c r="K112" s="531"/>
      <c r="L112" s="526"/>
      <c r="M112" s="526"/>
      <c r="N112" s="532"/>
      <c r="O112" s="532"/>
      <c r="AJ112" s="201"/>
      <c r="AK112" s="202"/>
      <c r="AL112" s="202"/>
      <c r="AM112" s="203"/>
      <c r="AN112" s="203"/>
    </row>
    <row r="113" spans="1:40">
      <c r="A113" s="200" t="s">
        <v>201</v>
      </c>
      <c r="F113" s="531">
        <v>8.5</v>
      </c>
      <c r="G113" s="531"/>
      <c r="H113" s="526" t="s">
        <v>196</v>
      </c>
      <c r="I113" s="526"/>
      <c r="J113" s="531">
        <f>B120</f>
        <v>10</v>
      </c>
      <c r="K113" s="531"/>
      <c r="L113" s="526" t="s">
        <v>202</v>
      </c>
      <c r="M113" s="526"/>
      <c r="N113" s="532">
        <v>1.05</v>
      </c>
      <c r="O113" s="532"/>
      <c r="P113" s="200" t="s">
        <v>203</v>
      </c>
      <c r="Q113" s="528">
        <f>F113*J113*N113</f>
        <v>89.25</v>
      </c>
      <c r="R113" s="528"/>
      <c r="S113" s="199" t="s">
        <v>85</v>
      </c>
      <c r="AJ113" s="201"/>
      <c r="AK113" s="202"/>
      <c r="AL113" s="202"/>
      <c r="AM113" s="203"/>
      <c r="AN113" s="203"/>
    </row>
    <row r="114" spans="1:40">
      <c r="A114" s="200" t="s">
        <v>204</v>
      </c>
      <c r="F114" s="531">
        <f>K109</f>
        <v>591.08000000000004</v>
      </c>
      <c r="G114" s="533"/>
      <c r="H114" s="526" t="s">
        <v>205</v>
      </c>
      <c r="I114" s="526"/>
      <c r="J114" s="531">
        <f>SUM(F112,Q113)</f>
        <v>209.98</v>
      </c>
      <c r="K114" s="533"/>
      <c r="L114" s="526" t="s">
        <v>206</v>
      </c>
      <c r="M114" s="526"/>
      <c r="N114" s="525">
        <f>F114-J114</f>
        <v>381.1</v>
      </c>
      <c r="O114" s="525"/>
      <c r="P114" s="200" t="s">
        <v>85</v>
      </c>
      <c r="AJ114" s="201"/>
      <c r="AK114" s="202"/>
      <c r="AL114" s="202"/>
      <c r="AM114" s="203"/>
      <c r="AN114" s="203"/>
    </row>
    <row r="115" spans="1:40">
      <c r="AJ115" s="201"/>
      <c r="AK115" s="202"/>
      <c r="AL115" s="202"/>
      <c r="AM115" s="203"/>
      <c r="AN115" s="203"/>
    </row>
    <row r="116" spans="1:40" ht="31.5" customHeight="1">
      <c r="A116" s="544" t="s">
        <v>431</v>
      </c>
      <c r="B116" s="544"/>
      <c r="C116" s="544"/>
      <c r="D116" s="544"/>
      <c r="E116" s="544"/>
      <c r="F116" s="544"/>
      <c r="G116" s="544"/>
      <c r="H116" s="544"/>
      <c r="I116" s="544"/>
      <c r="J116" s="544"/>
      <c r="K116" s="544"/>
      <c r="L116" s="544"/>
      <c r="M116" s="544"/>
      <c r="N116" s="544"/>
      <c r="O116" s="544"/>
      <c r="P116" s="544"/>
      <c r="Q116" s="544"/>
      <c r="R116" s="544"/>
      <c r="S116" s="544"/>
      <c r="T116" s="544"/>
      <c r="U116" s="544"/>
      <c r="V116" s="544"/>
      <c r="W116" s="544"/>
      <c r="X116" s="544"/>
      <c r="Y116" s="544"/>
      <c r="Z116" s="544"/>
      <c r="AA116" s="544"/>
      <c r="AB116" s="544"/>
      <c r="AC116" s="544"/>
      <c r="AD116" s="544"/>
      <c r="AE116" s="544"/>
      <c r="AF116" s="544"/>
      <c r="AG116" s="544"/>
      <c r="AH116" s="544"/>
      <c r="AI116" s="544"/>
      <c r="AJ116" s="201"/>
      <c r="AK116" s="202"/>
      <c r="AL116" s="202"/>
      <c r="AM116" s="203"/>
      <c r="AN116" s="203"/>
    </row>
    <row r="117" spans="1:40">
      <c r="AJ117" s="201"/>
      <c r="AK117" s="202"/>
      <c r="AL117" s="202"/>
      <c r="AM117" s="203"/>
      <c r="AN117" s="203"/>
    </row>
    <row r="118" spans="1:40">
      <c r="A118" s="530" t="s">
        <v>207</v>
      </c>
      <c r="B118" s="530"/>
      <c r="C118" s="530"/>
      <c r="D118" s="530"/>
      <c r="E118" s="530"/>
      <c r="F118" s="530"/>
      <c r="G118" s="530"/>
      <c r="H118" s="530"/>
      <c r="I118" s="530"/>
      <c r="J118" s="530"/>
      <c r="K118" s="530"/>
      <c r="L118" s="530"/>
      <c r="M118" s="530"/>
      <c r="N118" s="530"/>
      <c r="O118" s="530"/>
      <c r="P118" s="530"/>
      <c r="Q118" s="530"/>
      <c r="R118" s="530"/>
      <c r="S118" s="530"/>
      <c r="T118" s="530"/>
      <c r="U118" s="530"/>
      <c r="V118" s="530"/>
      <c r="W118" s="530"/>
      <c r="X118" s="530"/>
      <c r="Y118" s="530"/>
      <c r="Z118" s="530"/>
      <c r="AA118" s="530"/>
      <c r="AB118" s="530"/>
      <c r="AC118" s="530"/>
      <c r="AD118" s="530"/>
      <c r="AE118" s="530"/>
      <c r="AF118" s="530"/>
      <c r="AG118" s="530"/>
      <c r="AH118" s="530"/>
      <c r="AI118" s="530"/>
      <c r="AJ118" s="201"/>
      <c r="AK118" s="202"/>
      <c r="AL118" s="202"/>
      <c r="AM118" s="203"/>
      <c r="AN118" s="203"/>
    </row>
    <row r="119" spans="1:40">
      <c r="AJ119" s="201" t="s">
        <v>234</v>
      </c>
      <c r="AK119" s="202"/>
      <c r="AL119" s="202"/>
      <c r="AM119" s="203"/>
      <c r="AN119" s="203"/>
    </row>
    <row r="120" spans="1:40">
      <c r="A120" s="200" t="s">
        <v>179</v>
      </c>
      <c r="B120" s="543">
        <f>AJ120</f>
        <v>10</v>
      </c>
      <c r="C120" s="543"/>
      <c r="D120" s="530" t="s">
        <v>102</v>
      </c>
      <c r="E120" s="530"/>
      <c r="AJ120" s="201">
        <v>10</v>
      </c>
      <c r="AK120" s="202"/>
      <c r="AL120" s="202"/>
      <c r="AM120" s="203"/>
      <c r="AN120" s="203"/>
    </row>
    <row r="121" spans="1:40">
      <c r="AJ121" s="201"/>
      <c r="AK121" s="202"/>
      <c r="AL121" s="202"/>
      <c r="AM121" s="203"/>
      <c r="AN121" s="203"/>
    </row>
    <row r="122" spans="1:40" ht="31.5" customHeight="1">
      <c r="A122" s="544" t="s">
        <v>425</v>
      </c>
      <c r="B122" s="544"/>
      <c r="C122" s="544"/>
      <c r="D122" s="544"/>
      <c r="E122" s="544"/>
      <c r="F122" s="544"/>
      <c r="G122" s="544"/>
      <c r="H122" s="544"/>
      <c r="I122" s="544"/>
      <c r="J122" s="544"/>
      <c r="K122" s="544"/>
      <c r="L122" s="544"/>
      <c r="M122" s="544"/>
      <c r="N122" s="544"/>
      <c r="O122" s="544"/>
      <c r="P122" s="544"/>
      <c r="Q122" s="544"/>
      <c r="R122" s="544"/>
      <c r="S122" s="544"/>
      <c r="T122" s="544"/>
      <c r="U122" s="544"/>
      <c r="V122" s="544"/>
      <c r="W122" s="544"/>
      <c r="X122" s="544"/>
      <c r="Y122" s="544"/>
      <c r="Z122" s="544"/>
      <c r="AA122" s="544"/>
      <c r="AB122" s="544"/>
      <c r="AC122" s="544"/>
      <c r="AD122" s="544"/>
      <c r="AE122" s="544"/>
      <c r="AF122" s="544"/>
      <c r="AG122" s="544"/>
      <c r="AH122" s="544"/>
      <c r="AI122" s="544"/>
      <c r="AJ122" s="201"/>
      <c r="AK122" s="202"/>
      <c r="AL122" s="202"/>
      <c r="AM122" s="203"/>
      <c r="AN122" s="218"/>
    </row>
    <row r="123" spans="1:40">
      <c r="AJ123" s="201"/>
      <c r="AK123" s="202"/>
      <c r="AL123" s="202"/>
      <c r="AM123" s="203"/>
      <c r="AN123" s="203"/>
    </row>
    <row r="124" spans="1:40">
      <c r="A124" s="200" t="s">
        <v>208</v>
      </c>
      <c r="AJ124" s="201"/>
      <c r="AK124" s="202"/>
      <c r="AL124" s="202"/>
      <c r="AM124" s="203"/>
      <c r="AN124" s="203"/>
    </row>
    <row r="125" spans="1:40">
      <c r="AJ125" s="201"/>
      <c r="AK125" s="202"/>
      <c r="AL125" s="202"/>
      <c r="AM125" s="203"/>
      <c r="AN125" s="203"/>
    </row>
    <row r="126" spans="1:40">
      <c r="A126" s="526" t="s">
        <v>188</v>
      </c>
      <c r="B126" s="526"/>
      <c r="C126" s="526"/>
      <c r="D126" s="526"/>
      <c r="F126" s="531">
        <f>F102</f>
        <v>80.59</v>
      </c>
      <c r="G126" s="531"/>
      <c r="H126" s="526" t="s">
        <v>196</v>
      </c>
      <c r="I126" s="526"/>
      <c r="J126" s="531">
        <v>1</v>
      </c>
      <c r="K126" s="531"/>
      <c r="L126" s="526" t="s">
        <v>197</v>
      </c>
      <c r="M126" s="526"/>
      <c r="N126" s="532">
        <f>F126*J126</f>
        <v>80.59</v>
      </c>
      <c r="O126" s="532"/>
      <c r="P126" s="200" t="s">
        <v>148</v>
      </c>
      <c r="AJ126" s="201"/>
      <c r="AK126" s="202"/>
      <c r="AL126" s="202"/>
      <c r="AM126" s="203"/>
      <c r="AN126" s="203"/>
    </row>
    <row r="127" spans="1:40">
      <c r="A127" s="526" t="s">
        <v>189</v>
      </c>
      <c r="B127" s="526"/>
      <c r="C127" s="526"/>
      <c r="D127" s="526"/>
      <c r="F127" s="531">
        <f>F103</f>
        <v>90.66</v>
      </c>
      <c r="G127" s="531"/>
      <c r="H127" s="526" t="s">
        <v>196</v>
      </c>
      <c r="I127" s="526"/>
      <c r="J127" s="531">
        <v>1</v>
      </c>
      <c r="K127" s="531"/>
      <c r="L127" s="526" t="s">
        <v>197</v>
      </c>
      <c r="M127" s="526"/>
      <c r="N127" s="532">
        <f>F127*J127</f>
        <v>90.66</v>
      </c>
      <c r="O127" s="532"/>
      <c r="P127" s="200" t="s">
        <v>148</v>
      </c>
      <c r="AJ127" s="201"/>
      <c r="AK127" s="202"/>
      <c r="AL127" s="202"/>
      <c r="AM127" s="203"/>
      <c r="AN127" s="203"/>
    </row>
    <row r="128" spans="1:40">
      <c r="A128" s="526" t="s">
        <v>190</v>
      </c>
      <c r="B128" s="526"/>
      <c r="C128" s="526"/>
      <c r="D128" s="526"/>
      <c r="F128" s="531">
        <f>F104</f>
        <v>103.08</v>
      </c>
      <c r="G128" s="531"/>
      <c r="H128" s="526" t="s">
        <v>196</v>
      </c>
      <c r="I128" s="526"/>
      <c r="J128" s="531">
        <v>1</v>
      </c>
      <c r="K128" s="531"/>
      <c r="L128" s="526" t="s">
        <v>197</v>
      </c>
      <c r="M128" s="526"/>
      <c r="N128" s="532">
        <f>F128*J128</f>
        <v>103.08</v>
      </c>
      <c r="O128" s="532"/>
      <c r="P128" s="200" t="s">
        <v>148</v>
      </c>
      <c r="AJ128" s="201"/>
      <c r="AK128" s="202"/>
      <c r="AL128" s="202"/>
      <c r="AM128" s="203"/>
      <c r="AN128" s="203"/>
    </row>
    <row r="129" spans="1:40">
      <c r="A129" s="526" t="s">
        <v>379</v>
      </c>
      <c r="B129" s="526"/>
      <c r="C129" s="526"/>
      <c r="D129" s="526"/>
      <c r="F129" s="531">
        <f t="shared" ref="F129:F132" si="2">F105</f>
        <v>5.68</v>
      </c>
      <c r="G129" s="531"/>
      <c r="H129" s="526" t="s">
        <v>196</v>
      </c>
      <c r="I129" s="526"/>
      <c r="J129" s="531">
        <v>1</v>
      </c>
      <c r="K129" s="531"/>
      <c r="L129" s="526" t="s">
        <v>197</v>
      </c>
      <c r="M129" s="526"/>
      <c r="N129" s="532">
        <f t="shared" ref="N129:N132" si="3">F129*J129</f>
        <v>5.68</v>
      </c>
      <c r="O129" s="532"/>
      <c r="P129" s="200" t="s">
        <v>148</v>
      </c>
      <c r="AJ129" s="201"/>
      <c r="AK129" s="202"/>
      <c r="AL129" s="202"/>
      <c r="AM129" s="203"/>
      <c r="AN129" s="203"/>
    </row>
    <row r="130" spans="1:40">
      <c r="A130" s="526" t="s">
        <v>384</v>
      </c>
      <c r="B130" s="526"/>
      <c r="C130" s="526"/>
      <c r="D130" s="526"/>
      <c r="F130" s="531">
        <f t="shared" si="2"/>
        <v>80.81</v>
      </c>
      <c r="G130" s="531"/>
      <c r="H130" s="526" t="s">
        <v>196</v>
      </c>
      <c r="I130" s="526"/>
      <c r="J130" s="531">
        <v>1</v>
      </c>
      <c r="K130" s="531"/>
      <c r="L130" s="526" t="s">
        <v>197</v>
      </c>
      <c r="M130" s="526"/>
      <c r="N130" s="532">
        <f t="shared" si="3"/>
        <v>80.81</v>
      </c>
      <c r="O130" s="532"/>
      <c r="P130" s="200" t="s">
        <v>148</v>
      </c>
      <c r="AJ130" s="201"/>
      <c r="AK130" s="202"/>
      <c r="AL130" s="202"/>
      <c r="AM130" s="203"/>
      <c r="AN130" s="203"/>
    </row>
    <row r="131" spans="1:40">
      <c r="A131" s="526" t="s">
        <v>385</v>
      </c>
      <c r="B131" s="526"/>
      <c r="C131" s="526"/>
      <c r="D131" s="526"/>
      <c r="F131" s="531">
        <f t="shared" si="2"/>
        <v>196.44</v>
      </c>
      <c r="G131" s="531"/>
      <c r="H131" s="526" t="s">
        <v>196</v>
      </c>
      <c r="I131" s="526"/>
      <c r="J131" s="531">
        <v>1</v>
      </c>
      <c r="K131" s="531"/>
      <c r="L131" s="526" t="s">
        <v>197</v>
      </c>
      <c r="M131" s="526"/>
      <c r="N131" s="532">
        <f t="shared" si="3"/>
        <v>196.44</v>
      </c>
      <c r="O131" s="532"/>
      <c r="P131" s="200" t="s">
        <v>148</v>
      </c>
      <c r="AJ131" s="201"/>
      <c r="AK131" s="202"/>
      <c r="AL131" s="202"/>
      <c r="AM131" s="203"/>
      <c r="AN131" s="203"/>
    </row>
    <row r="132" spans="1:40">
      <c r="A132" s="526" t="s">
        <v>386</v>
      </c>
      <c r="B132" s="526"/>
      <c r="C132" s="526"/>
      <c r="D132" s="526"/>
      <c r="F132" s="531">
        <f t="shared" si="2"/>
        <v>5.67</v>
      </c>
      <c r="G132" s="531"/>
      <c r="H132" s="526" t="s">
        <v>196</v>
      </c>
      <c r="I132" s="526"/>
      <c r="J132" s="531">
        <v>1</v>
      </c>
      <c r="K132" s="531"/>
      <c r="L132" s="526" t="s">
        <v>197</v>
      </c>
      <c r="M132" s="526"/>
      <c r="N132" s="532">
        <f t="shared" si="3"/>
        <v>5.67</v>
      </c>
      <c r="O132" s="532"/>
      <c r="P132" s="200" t="s">
        <v>148</v>
      </c>
      <c r="AJ132" s="201"/>
      <c r="AK132" s="202"/>
      <c r="AL132" s="202"/>
      <c r="AM132" s="203"/>
      <c r="AN132" s="203"/>
    </row>
    <row r="133" spans="1:40">
      <c r="A133" s="215"/>
      <c r="B133" s="215"/>
      <c r="C133" s="215"/>
      <c r="D133" s="215"/>
      <c r="F133" s="216"/>
      <c r="G133" s="216"/>
      <c r="H133" s="215"/>
      <c r="I133" s="215"/>
      <c r="J133" s="216"/>
      <c r="K133" s="216"/>
      <c r="L133" s="215"/>
      <c r="M133" s="215"/>
      <c r="N133" s="204"/>
      <c r="O133" s="204"/>
      <c r="AJ133" s="201"/>
      <c r="AK133" s="202"/>
      <c r="AL133" s="202"/>
      <c r="AM133" s="203"/>
      <c r="AN133" s="203"/>
    </row>
    <row r="134" spans="1:40">
      <c r="A134" s="200" t="s">
        <v>199</v>
      </c>
      <c r="E134" s="205"/>
      <c r="F134" s="205"/>
      <c r="H134" s="216"/>
      <c r="I134" s="216"/>
      <c r="J134" s="215"/>
      <c r="K134" s="215"/>
      <c r="L134" s="216"/>
      <c r="M134" s="216"/>
      <c r="AJ134" s="201"/>
      <c r="AK134" s="202"/>
      <c r="AL134" s="202"/>
      <c r="AM134" s="203"/>
      <c r="AN134" s="203"/>
    </row>
    <row r="135" spans="1:40">
      <c r="A135" s="526" t="s">
        <v>201</v>
      </c>
      <c r="B135" s="526"/>
      <c r="C135" s="526"/>
      <c r="D135" s="526"/>
      <c r="F135" s="531">
        <v>8.5</v>
      </c>
      <c r="G135" s="531"/>
      <c r="H135" s="526" t="s">
        <v>196</v>
      </c>
      <c r="I135" s="526"/>
      <c r="J135" s="531">
        <f>B120</f>
        <v>10</v>
      </c>
      <c r="K135" s="531"/>
      <c r="L135" s="526" t="s">
        <v>197</v>
      </c>
      <c r="M135" s="526"/>
      <c r="N135" s="532">
        <f>F135*J135</f>
        <v>85</v>
      </c>
      <c r="O135" s="532"/>
      <c r="P135" s="200" t="s">
        <v>148</v>
      </c>
      <c r="AJ135" s="201"/>
      <c r="AK135" s="202"/>
      <c r="AL135" s="202"/>
      <c r="AM135" s="203"/>
      <c r="AN135" s="203"/>
    </row>
    <row r="136" spans="1:40">
      <c r="A136" s="526" t="s">
        <v>209</v>
      </c>
      <c r="B136" s="526"/>
      <c r="C136" s="526"/>
      <c r="D136" s="526"/>
      <c r="F136" s="531">
        <v>0.5</v>
      </c>
      <c r="G136" s="531"/>
      <c r="H136" s="526" t="s">
        <v>196</v>
      </c>
      <c r="I136" s="526"/>
      <c r="J136" s="531">
        <v>10</v>
      </c>
      <c r="K136" s="531"/>
      <c r="L136" s="526" t="s">
        <v>197</v>
      </c>
      <c r="M136" s="526"/>
      <c r="N136" s="532">
        <f>F136*J136</f>
        <v>5</v>
      </c>
      <c r="O136" s="532"/>
      <c r="P136" s="200" t="s">
        <v>148</v>
      </c>
      <c r="T136" s="199"/>
      <c r="U136" s="199"/>
      <c r="AJ136" s="201"/>
      <c r="AK136" s="202"/>
      <c r="AL136" s="202"/>
      <c r="AM136" s="203"/>
      <c r="AN136" s="203"/>
    </row>
    <row r="137" spans="1:40">
      <c r="A137" s="200" t="s">
        <v>210</v>
      </c>
      <c r="F137" s="531">
        <f>SUM(N126:O132)-SUM(N135:O136)</f>
        <v>472.93</v>
      </c>
      <c r="G137" s="533"/>
      <c r="H137" s="200" t="s">
        <v>211</v>
      </c>
      <c r="I137" s="533">
        <v>0.25</v>
      </c>
      <c r="J137" s="533"/>
      <c r="K137" s="200" t="s">
        <v>212</v>
      </c>
      <c r="L137" s="525">
        <f>F137*I137</f>
        <v>118.23</v>
      </c>
      <c r="M137" s="528"/>
      <c r="N137" s="199" t="s">
        <v>85</v>
      </c>
      <c r="AJ137" s="201"/>
      <c r="AK137" s="202"/>
      <c r="AL137" s="202"/>
      <c r="AM137" s="203"/>
      <c r="AN137" s="203"/>
    </row>
    <row r="138" spans="1:40">
      <c r="AJ138" s="201"/>
      <c r="AK138" s="202"/>
      <c r="AL138" s="202"/>
      <c r="AM138" s="203"/>
      <c r="AN138" s="203"/>
    </row>
    <row r="139" spans="1:40">
      <c r="A139" s="200" t="s">
        <v>213</v>
      </c>
      <c r="AJ139" s="201"/>
      <c r="AK139" s="202"/>
      <c r="AL139" s="202"/>
      <c r="AM139" s="203"/>
      <c r="AN139" s="203"/>
    </row>
    <row r="140" spans="1:40">
      <c r="E140" s="533"/>
      <c r="F140" s="533"/>
      <c r="H140" s="527"/>
      <c r="I140" s="527"/>
      <c r="J140" s="526"/>
      <c r="K140" s="526"/>
      <c r="L140" s="531"/>
      <c r="M140" s="531"/>
      <c r="AJ140" s="201"/>
      <c r="AK140" s="202"/>
      <c r="AL140" s="202"/>
      <c r="AM140" s="203"/>
      <c r="AN140" s="203"/>
    </row>
    <row r="141" spans="1:40">
      <c r="A141" s="526" t="s">
        <v>209</v>
      </c>
      <c r="B141" s="526"/>
      <c r="C141" s="526"/>
      <c r="D141" s="526"/>
      <c r="F141" s="531">
        <v>0.25</v>
      </c>
      <c r="G141" s="531"/>
      <c r="H141" s="526" t="s">
        <v>214</v>
      </c>
      <c r="I141" s="526"/>
      <c r="J141" s="531">
        <f>J136</f>
        <v>10</v>
      </c>
      <c r="K141" s="531"/>
      <c r="L141" s="526" t="s">
        <v>197</v>
      </c>
      <c r="M141" s="526"/>
      <c r="N141" s="532">
        <f>F141*J141</f>
        <v>2.5</v>
      </c>
      <c r="O141" s="532"/>
      <c r="P141" s="200" t="s">
        <v>85</v>
      </c>
      <c r="AJ141" s="201"/>
      <c r="AK141" s="202"/>
      <c r="AL141" s="202"/>
      <c r="AM141" s="203"/>
      <c r="AN141" s="203"/>
    </row>
    <row r="142" spans="1:40">
      <c r="E142" s="205"/>
      <c r="F142" s="205"/>
      <c r="H142" s="219"/>
      <c r="I142" s="219"/>
      <c r="J142" s="215"/>
      <c r="K142" s="215"/>
      <c r="L142" s="214"/>
      <c r="M142" s="214"/>
      <c r="AJ142" s="201"/>
      <c r="AK142" s="202"/>
      <c r="AL142" s="202"/>
      <c r="AM142" s="203"/>
      <c r="AN142" s="203"/>
    </row>
    <row r="143" spans="1:40">
      <c r="A143" s="200" t="s">
        <v>191</v>
      </c>
      <c r="C143" s="527">
        <f>L137+N141</f>
        <v>120.73</v>
      </c>
      <c r="D143" s="527"/>
      <c r="E143" s="205" t="s">
        <v>85</v>
      </c>
      <c r="F143" s="205"/>
      <c r="H143" s="219"/>
      <c r="I143" s="219"/>
      <c r="J143" s="215"/>
      <c r="K143" s="215"/>
      <c r="L143" s="214"/>
      <c r="M143" s="214"/>
      <c r="AJ143" s="201"/>
      <c r="AK143" s="202"/>
      <c r="AL143" s="202"/>
      <c r="AM143" s="203"/>
      <c r="AN143" s="203"/>
    </row>
    <row r="144" spans="1:40">
      <c r="AJ144" s="201"/>
      <c r="AK144" s="202"/>
      <c r="AL144" s="202"/>
      <c r="AM144" s="203"/>
      <c r="AN144" s="203"/>
    </row>
    <row r="145" spans="1:40" ht="15">
      <c r="A145" s="542" t="s">
        <v>426</v>
      </c>
      <c r="B145" s="542"/>
      <c r="C145" s="542"/>
      <c r="D145" s="542"/>
      <c r="E145" s="542"/>
      <c r="F145" s="542"/>
      <c r="G145" s="542"/>
      <c r="H145" s="542"/>
      <c r="I145" s="542"/>
      <c r="J145" s="542"/>
      <c r="K145" s="542"/>
      <c r="L145" s="542"/>
      <c r="M145" s="542"/>
      <c r="N145" s="542"/>
      <c r="O145" s="542"/>
      <c r="P145" s="542"/>
      <c r="Q145" s="542"/>
      <c r="R145" s="542"/>
      <c r="S145" s="542"/>
      <c r="T145" s="542"/>
      <c r="U145" s="542"/>
      <c r="V145" s="542"/>
      <c r="W145" s="542"/>
      <c r="X145" s="542"/>
      <c r="Y145" s="542"/>
      <c r="Z145" s="542"/>
      <c r="AA145" s="542"/>
      <c r="AB145" s="542"/>
      <c r="AC145" s="542"/>
      <c r="AD145" s="542"/>
      <c r="AE145" s="542"/>
      <c r="AF145" s="542"/>
      <c r="AG145" s="542"/>
      <c r="AH145" s="542"/>
      <c r="AI145" s="542"/>
      <c r="AJ145" s="201"/>
      <c r="AK145" s="202"/>
      <c r="AL145" s="202"/>
      <c r="AM145" s="203"/>
      <c r="AN145" s="203"/>
    </row>
    <row r="146" spans="1:40">
      <c r="AJ146" s="201"/>
      <c r="AK146" s="202"/>
      <c r="AL146" s="202"/>
      <c r="AM146" s="203"/>
      <c r="AN146" s="203"/>
    </row>
    <row r="147" spans="1:40">
      <c r="A147" s="530" t="s">
        <v>491</v>
      </c>
      <c r="B147" s="530"/>
      <c r="C147" s="530"/>
      <c r="D147" s="530"/>
      <c r="E147" s="530"/>
      <c r="F147" s="530"/>
      <c r="G147" s="530"/>
      <c r="H147" s="530"/>
      <c r="I147" s="530"/>
      <c r="J147" s="530"/>
      <c r="K147" s="530"/>
      <c r="L147" s="530"/>
      <c r="M147" s="530"/>
      <c r="N147" s="530"/>
      <c r="O147" s="530"/>
      <c r="P147" s="530"/>
      <c r="Q147" s="530"/>
      <c r="R147" s="530"/>
      <c r="S147" s="530"/>
      <c r="T147" s="530"/>
      <c r="U147" s="530"/>
      <c r="V147" s="530"/>
      <c r="W147" s="530"/>
      <c r="X147" s="530"/>
      <c r="Y147" s="530"/>
      <c r="Z147" s="530"/>
      <c r="AA147" s="530"/>
      <c r="AB147" s="530"/>
      <c r="AC147" s="530"/>
      <c r="AD147" s="530"/>
      <c r="AE147" s="530"/>
      <c r="AF147" s="530"/>
      <c r="AG147" s="530"/>
      <c r="AH147" s="530"/>
      <c r="AI147" s="530"/>
      <c r="AJ147" s="201"/>
      <c r="AK147" s="202"/>
      <c r="AL147" s="202"/>
      <c r="AM147" s="203"/>
      <c r="AN147" s="203"/>
    </row>
    <row r="148" spans="1:40">
      <c r="AJ148" s="201"/>
      <c r="AK148" s="202"/>
      <c r="AL148" s="202"/>
      <c r="AM148" s="203"/>
      <c r="AN148" s="203"/>
    </row>
    <row r="149" spans="1:40">
      <c r="A149" s="200" t="s">
        <v>174</v>
      </c>
      <c r="C149" s="525">
        <f>SUM(F83:G89)</f>
        <v>562.92999999999995</v>
      </c>
      <c r="D149" s="525"/>
      <c r="E149" s="198" t="s">
        <v>175</v>
      </c>
      <c r="F149" s="200" t="s">
        <v>216</v>
      </c>
      <c r="G149" s="528">
        <v>0.15</v>
      </c>
      <c r="H149" s="528"/>
      <c r="I149" s="198" t="s">
        <v>217</v>
      </c>
      <c r="J149" s="525">
        <v>0.15</v>
      </c>
      <c r="K149" s="525"/>
      <c r="L149" s="214" t="s">
        <v>218</v>
      </c>
      <c r="M149" s="199"/>
      <c r="S149" s="200"/>
      <c r="AF149" s="198"/>
      <c r="AG149" s="199"/>
      <c r="AH149" s="199"/>
      <c r="AJ149" s="203"/>
      <c r="AK149" s="200"/>
      <c r="AL149" s="200"/>
    </row>
    <row r="150" spans="1:40">
      <c r="A150" s="200" t="s">
        <v>174</v>
      </c>
      <c r="B150" s="543">
        <f>(C149)*(G149+J149)</f>
        <v>168.88</v>
      </c>
      <c r="C150" s="543"/>
      <c r="D150" s="543"/>
      <c r="E150" s="200" t="s">
        <v>85</v>
      </c>
      <c r="AJ150" s="201"/>
      <c r="AK150" s="202"/>
      <c r="AL150" s="202"/>
      <c r="AM150" s="203"/>
      <c r="AN150" s="203"/>
    </row>
    <row r="151" spans="1:40">
      <c r="AJ151" s="201"/>
      <c r="AK151" s="202"/>
      <c r="AL151" s="202"/>
      <c r="AM151" s="203"/>
      <c r="AN151" s="203"/>
    </row>
    <row r="152" spans="1:40">
      <c r="AJ152" s="201"/>
      <c r="AK152" s="202"/>
      <c r="AL152" s="202"/>
      <c r="AM152" s="203"/>
      <c r="AN152" s="203"/>
    </row>
    <row r="153" spans="1:40" s="223" customFormat="1" ht="15" customHeight="1">
      <c r="A153" s="544" t="s">
        <v>427</v>
      </c>
      <c r="B153" s="544"/>
      <c r="C153" s="544"/>
      <c r="D153" s="544"/>
      <c r="E153" s="544"/>
      <c r="F153" s="544"/>
      <c r="G153" s="544"/>
      <c r="H153" s="544"/>
      <c r="I153" s="544"/>
      <c r="J153" s="544"/>
      <c r="K153" s="544"/>
      <c r="L153" s="544"/>
      <c r="M153" s="544"/>
      <c r="N153" s="544"/>
      <c r="O153" s="544"/>
      <c r="P153" s="544"/>
      <c r="Q153" s="544"/>
      <c r="R153" s="544"/>
      <c r="S153" s="544"/>
      <c r="T153" s="544"/>
      <c r="U153" s="544"/>
      <c r="V153" s="544"/>
      <c r="W153" s="544"/>
      <c r="X153" s="544"/>
      <c r="Y153" s="544"/>
      <c r="Z153" s="544"/>
      <c r="AA153" s="544"/>
      <c r="AB153" s="544"/>
      <c r="AC153" s="544"/>
      <c r="AD153" s="544"/>
      <c r="AE153" s="544"/>
      <c r="AF153" s="544"/>
      <c r="AG153" s="544"/>
      <c r="AH153" s="544"/>
      <c r="AI153" s="544"/>
      <c r="AJ153" s="220"/>
      <c r="AK153" s="221"/>
      <c r="AL153" s="221"/>
      <c r="AM153" s="222"/>
      <c r="AN153" s="222"/>
    </row>
    <row r="154" spans="1:40">
      <c r="AM154" s="203"/>
      <c r="AN154" s="203"/>
    </row>
    <row r="155" spans="1:40">
      <c r="A155" s="538" t="s">
        <v>490</v>
      </c>
      <c r="B155" s="538"/>
      <c r="C155" s="538"/>
      <c r="D155" s="538"/>
      <c r="E155" s="538"/>
      <c r="F155" s="538"/>
      <c r="G155" s="538"/>
      <c r="H155" s="538"/>
      <c r="I155" s="538"/>
      <c r="J155" s="538"/>
      <c r="K155" s="538"/>
      <c r="L155" s="538"/>
      <c r="M155" s="538"/>
      <c r="N155" s="538"/>
      <c r="O155" s="538"/>
      <c r="P155" s="538"/>
      <c r="Q155" s="538"/>
      <c r="R155" s="538"/>
      <c r="S155" s="538"/>
      <c r="T155" s="538"/>
      <c r="U155" s="538"/>
      <c r="V155" s="538"/>
      <c r="W155" s="538"/>
      <c r="X155" s="538"/>
      <c r="Y155" s="538"/>
      <c r="Z155" s="538"/>
      <c r="AA155" s="538"/>
      <c r="AB155" s="538"/>
      <c r="AC155" s="538"/>
      <c r="AD155" s="538"/>
      <c r="AE155" s="538"/>
      <c r="AF155" s="538"/>
      <c r="AG155" s="538"/>
      <c r="AH155" s="538"/>
      <c r="AI155" s="538"/>
      <c r="AM155" s="203"/>
      <c r="AN155" s="203"/>
    </row>
    <row r="156" spans="1:40">
      <c r="A156" s="538"/>
      <c r="B156" s="538"/>
      <c r="C156" s="538"/>
      <c r="D156" s="538"/>
      <c r="E156" s="538"/>
      <c r="F156" s="538"/>
      <c r="G156" s="538"/>
      <c r="H156" s="538"/>
      <c r="I156" s="538"/>
      <c r="J156" s="538"/>
      <c r="K156" s="538"/>
      <c r="L156" s="538"/>
      <c r="M156" s="538"/>
      <c r="N156" s="538"/>
      <c r="O156" s="538"/>
      <c r="P156" s="538"/>
      <c r="Q156" s="538"/>
      <c r="R156" s="538"/>
      <c r="S156" s="538"/>
      <c r="T156" s="538"/>
      <c r="U156" s="538"/>
      <c r="V156" s="538"/>
      <c r="W156" s="538"/>
      <c r="X156" s="538"/>
      <c r="Y156" s="538"/>
      <c r="Z156" s="538"/>
      <c r="AA156" s="538"/>
      <c r="AB156" s="538"/>
      <c r="AC156" s="538"/>
      <c r="AD156" s="538"/>
      <c r="AE156" s="538"/>
      <c r="AF156" s="538"/>
      <c r="AG156" s="538"/>
      <c r="AH156" s="538"/>
      <c r="AI156" s="538"/>
      <c r="AM156" s="203"/>
      <c r="AN156" s="203"/>
    </row>
    <row r="157" spans="1:40">
      <c r="AJ157" s="525" t="s">
        <v>220</v>
      </c>
      <c r="AK157" s="525"/>
      <c r="AL157" s="199" t="s">
        <v>221</v>
      </c>
      <c r="AM157" s="203"/>
      <c r="AN157" s="203"/>
    </row>
    <row r="158" spans="1:40">
      <c r="B158" s="200" t="s">
        <v>222</v>
      </c>
      <c r="AK158" s="198"/>
      <c r="AM158" s="203"/>
      <c r="AN158" s="203"/>
    </row>
    <row r="159" spans="1:40">
      <c r="A159" s="200" t="s">
        <v>174</v>
      </c>
      <c r="B159" s="527">
        <f>AJ160</f>
        <v>3</v>
      </c>
      <c r="C159" s="527"/>
      <c r="D159" s="200" t="s">
        <v>102</v>
      </c>
      <c r="F159" s="200" t="s">
        <v>175</v>
      </c>
      <c r="G159" s="525">
        <f>AL160</f>
        <v>0.28000000000000003</v>
      </c>
      <c r="H159" s="525"/>
      <c r="I159" s="200" t="s">
        <v>223</v>
      </c>
      <c r="AK159" s="198"/>
      <c r="AM159" s="203"/>
      <c r="AN159" s="203"/>
    </row>
    <row r="160" spans="1:40">
      <c r="A160" s="200" t="s">
        <v>224</v>
      </c>
      <c r="B160" s="543">
        <f>B159*G159</f>
        <v>0.84</v>
      </c>
      <c r="C160" s="543"/>
      <c r="D160" s="530" t="s">
        <v>85</v>
      </c>
      <c r="E160" s="530"/>
      <c r="AJ160" s="198">
        <v>3</v>
      </c>
      <c r="AL160" s="199">
        <f>PI()*0.3^2</f>
        <v>0.28000000000000003</v>
      </c>
      <c r="AM160" s="203"/>
      <c r="AN160" s="203"/>
    </row>
    <row r="162" spans="1:40">
      <c r="B162" s="200" t="s">
        <v>225</v>
      </c>
      <c r="AK162" s="198"/>
      <c r="AM162" s="203"/>
      <c r="AN162" s="203"/>
    </row>
    <row r="163" spans="1:40">
      <c r="A163" s="200" t="s">
        <v>174</v>
      </c>
      <c r="B163" s="527">
        <f>AJ164</f>
        <v>2</v>
      </c>
      <c r="C163" s="527"/>
      <c r="D163" s="200" t="s">
        <v>102</v>
      </c>
      <c r="F163" s="200" t="s">
        <v>175</v>
      </c>
      <c r="G163" s="525">
        <f>AL164</f>
        <v>0.2</v>
      </c>
      <c r="H163" s="525"/>
      <c r="I163" s="200" t="s">
        <v>223</v>
      </c>
      <c r="AJ163" s="525" t="s">
        <v>226</v>
      </c>
      <c r="AK163" s="525"/>
      <c r="AM163" s="203"/>
      <c r="AN163" s="203"/>
    </row>
    <row r="164" spans="1:40">
      <c r="A164" s="200" t="s">
        <v>224</v>
      </c>
      <c r="B164" s="543">
        <f>B163*G163</f>
        <v>0.4</v>
      </c>
      <c r="C164" s="543"/>
      <c r="D164" s="530" t="s">
        <v>85</v>
      </c>
      <c r="E164" s="530"/>
      <c r="AJ164" s="198">
        <v>2</v>
      </c>
      <c r="AL164" s="199">
        <f>PI()*0.25^2</f>
        <v>0.2</v>
      </c>
      <c r="AM164" s="203"/>
      <c r="AN164" s="203"/>
    </row>
    <row r="166" spans="1:40">
      <c r="A166" s="200" t="s">
        <v>185</v>
      </c>
      <c r="C166" s="525">
        <f>B160+B164</f>
        <v>1.24</v>
      </c>
      <c r="D166" s="528"/>
      <c r="E166" s="200" t="s">
        <v>85</v>
      </c>
    </row>
    <row r="168" spans="1:40" s="197" customFormat="1" ht="15">
      <c r="A168" s="539" t="s">
        <v>328</v>
      </c>
      <c r="B168" s="540"/>
      <c r="C168" s="540"/>
      <c r="D168" s="540"/>
      <c r="E168" s="540"/>
      <c r="F168" s="540"/>
      <c r="G168" s="540"/>
      <c r="H168" s="540"/>
      <c r="I168" s="540"/>
      <c r="J168" s="540"/>
      <c r="K168" s="540"/>
      <c r="L168" s="540"/>
      <c r="M168" s="540"/>
      <c r="N168" s="540"/>
      <c r="O168" s="540"/>
      <c r="P168" s="540"/>
      <c r="Q168" s="540"/>
      <c r="R168" s="540"/>
      <c r="S168" s="540"/>
      <c r="T168" s="540"/>
      <c r="U168" s="540"/>
      <c r="V168" s="540"/>
      <c r="W168" s="540"/>
      <c r="X168" s="540"/>
      <c r="Y168" s="540"/>
      <c r="Z168" s="540"/>
      <c r="AA168" s="540"/>
      <c r="AB168" s="540"/>
      <c r="AC168" s="540"/>
      <c r="AD168" s="540"/>
      <c r="AE168" s="540"/>
      <c r="AF168" s="540"/>
      <c r="AG168" s="540"/>
      <c r="AH168" s="540"/>
      <c r="AI168" s="541"/>
      <c r="AJ168" s="224"/>
      <c r="AK168" s="210"/>
      <c r="AL168" s="210"/>
    </row>
    <row r="169" spans="1:40" s="197" customFormat="1">
      <c r="A169" s="200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199"/>
      <c r="O169" s="199"/>
      <c r="P169" s="200"/>
      <c r="Q169" s="200"/>
      <c r="R169" s="200"/>
      <c r="S169" s="199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24"/>
      <c r="AK169" s="210"/>
      <c r="AL169" s="210"/>
    </row>
    <row r="170" spans="1:40" s="197" customFormat="1" ht="15">
      <c r="A170" s="542" t="s">
        <v>329</v>
      </c>
      <c r="B170" s="542"/>
      <c r="C170" s="542"/>
      <c r="D170" s="542"/>
      <c r="E170" s="542"/>
      <c r="F170" s="542"/>
      <c r="G170" s="542"/>
      <c r="H170" s="542"/>
      <c r="I170" s="542"/>
      <c r="J170" s="542"/>
      <c r="K170" s="542"/>
      <c r="L170" s="542"/>
      <c r="M170" s="542"/>
      <c r="N170" s="542"/>
      <c r="O170" s="542"/>
      <c r="P170" s="542"/>
      <c r="Q170" s="542"/>
      <c r="R170" s="542"/>
      <c r="S170" s="542"/>
      <c r="T170" s="542"/>
      <c r="U170" s="542"/>
      <c r="V170" s="542"/>
      <c r="W170" s="542"/>
      <c r="X170" s="542"/>
      <c r="Y170" s="542"/>
      <c r="Z170" s="542"/>
      <c r="AA170" s="542"/>
      <c r="AB170" s="542"/>
      <c r="AC170" s="542"/>
      <c r="AD170" s="542"/>
      <c r="AE170" s="542"/>
      <c r="AF170" s="542"/>
      <c r="AG170" s="542"/>
      <c r="AH170" s="542"/>
      <c r="AI170" s="542"/>
      <c r="AJ170" s="224"/>
      <c r="AK170" s="210"/>
      <c r="AL170" s="210"/>
    </row>
    <row r="171" spans="1:40" s="197" customFormat="1">
      <c r="A171" s="200"/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199"/>
      <c r="O171" s="199"/>
      <c r="P171" s="200"/>
      <c r="Q171" s="200"/>
      <c r="R171" s="200"/>
      <c r="S171" s="199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24"/>
      <c r="AK171" s="210"/>
      <c r="AL171" s="210"/>
    </row>
    <row r="172" spans="1:40" s="197" customFormat="1">
      <c r="A172" s="530" t="s">
        <v>335</v>
      </c>
      <c r="B172" s="530"/>
      <c r="C172" s="530"/>
      <c r="D172" s="530"/>
      <c r="E172" s="530"/>
      <c r="F172" s="530"/>
      <c r="G172" s="530"/>
      <c r="H172" s="530"/>
      <c r="I172" s="530"/>
      <c r="J172" s="530"/>
      <c r="K172" s="530"/>
      <c r="L172" s="530"/>
      <c r="M172" s="530"/>
      <c r="N172" s="530"/>
      <c r="O172" s="530"/>
      <c r="P172" s="530"/>
      <c r="Q172" s="530"/>
      <c r="R172" s="530"/>
      <c r="S172" s="530"/>
      <c r="T172" s="530"/>
      <c r="U172" s="530"/>
      <c r="V172" s="530"/>
      <c r="W172" s="530"/>
      <c r="X172" s="530"/>
      <c r="Y172" s="530"/>
      <c r="Z172" s="530"/>
      <c r="AA172" s="530"/>
      <c r="AB172" s="530"/>
      <c r="AC172" s="530"/>
      <c r="AD172" s="530"/>
      <c r="AE172" s="530"/>
      <c r="AF172" s="530"/>
      <c r="AG172" s="530"/>
      <c r="AH172" s="530"/>
      <c r="AI172" s="530"/>
      <c r="AJ172" s="224"/>
      <c r="AK172" s="210"/>
      <c r="AL172" s="210"/>
    </row>
    <row r="173" spans="1:40" s="197" customFormat="1">
      <c r="A173" s="200"/>
      <c r="B173" s="200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24"/>
      <c r="AK173" s="210"/>
      <c r="AL173" s="210"/>
    </row>
    <row r="174" spans="1:40" s="197" customFormat="1">
      <c r="A174" s="526" t="s">
        <v>350</v>
      </c>
      <c r="B174" s="526"/>
      <c r="C174" s="526"/>
      <c r="D174" s="526"/>
      <c r="E174" s="526"/>
      <c r="F174" s="526"/>
      <c r="G174" s="533">
        <f>5.8+5.8+15+15</f>
        <v>41.6</v>
      </c>
      <c r="H174" s="533"/>
      <c r="I174" s="200" t="s">
        <v>196</v>
      </c>
      <c r="J174" s="531">
        <v>1</v>
      </c>
      <c r="K174" s="531"/>
      <c r="L174" s="528" t="s">
        <v>197</v>
      </c>
      <c r="M174" s="528"/>
      <c r="N174" s="531">
        <f>G174*J174</f>
        <v>41.6</v>
      </c>
      <c r="O174" s="531"/>
      <c r="P174" s="200" t="s">
        <v>148</v>
      </c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24"/>
      <c r="AK174" s="210"/>
      <c r="AL174" s="210"/>
    </row>
    <row r="175" spans="1:40" s="197" customFormat="1">
      <c r="A175" s="200"/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24"/>
      <c r="AK175" s="210"/>
      <c r="AL175" s="210"/>
    </row>
    <row r="176" spans="1:40" s="197" customFormat="1">
      <c r="A176" s="200" t="s">
        <v>191</v>
      </c>
      <c r="B176" s="200"/>
      <c r="C176" s="528">
        <f>SUM(N174:N174)</f>
        <v>41.6</v>
      </c>
      <c r="D176" s="528"/>
      <c r="E176" s="200" t="s">
        <v>148</v>
      </c>
      <c r="F176" s="200"/>
      <c r="G176" s="200"/>
      <c r="H176" s="200"/>
      <c r="I176" s="200"/>
      <c r="J176" s="200"/>
      <c r="K176" s="200"/>
      <c r="L176" s="200"/>
      <c r="M176" s="200"/>
      <c r="N176" s="199"/>
      <c r="O176" s="199"/>
      <c r="P176" s="200"/>
      <c r="Q176" s="200"/>
      <c r="R176" s="200"/>
      <c r="S176" s="199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24"/>
      <c r="AK176" s="210"/>
      <c r="AL176" s="210"/>
    </row>
    <row r="177" spans="1:38" s="197" customFormat="1">
      <c r="A177" s="200"/>
      <c r="B177" s="200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199"/>
      <c r="O177" s="199"/>
      <c r="P177" s="200"/>
      <c r="Q177" s="200"/>
      <c r="R177" s="200"/>
      <c r="S177" s="199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24"/>
      <c r="AK177" s="210"/>
      <c r="AL177" s="210"/>
    </row>
    <row r="178" spans="1:38" s="197" customFormat="1" ht="29.25" customHeight="1">
      <c r="A178" s="529" t="s">
        <v>336</v>
      </c>
      <c r="B178" s="529"/>
      <c r="C178" s="529"/>
      <c r="D178" s="529"/>
      <c r="E178" s="529"/>
      <c r="F178" s="529"/>
      <c r="G178" s="529"/>
      <c r="H178" s="529"/>
      <c r="I178" s="529"/>
      <c r="J178" s="529"/>
      <c r="K178" s="529"/>
      <c r="L178" s="529"/>
      <c r="M178" s="529"/>
      <c r="N178" s="529"/>
      <c r="O178" s="529"/>
      <c r="P178" s="529"/>
      <c r="Q178" s="529"/>
      <c r="R178" s="529"/>
      <c r="S178" s="529"/>
      <c r="T178" s="529"/>
      <c r="U178" s="529"/>
      <c r="V178" s="529"/>
      <c r="W178" s="529"/>
      <c r="X178" s="529"/>
      <c r="Y178" s="529"/>
      <c r="Z178" s="529"/>
      <c r="AA178" s="529"/>
      <c r="AB178" s="529"/>
      <c r="AC178" s="529"/>
      <c r="AD178" s="529"/>
      <c r="AE178" s="529"/>
      <c r="AF178" s="529"/>
      <c r="AG178" s="529"/>
      <c r="AH178" s="529"/>
      <c r="AI178" s="529"/>
      <c r="AJ178" s="224"/>
      <c r="AK178" s="210"/>
      <c r="AL178" s="210"/>
    </row>
    <row r="179" spans="1:38" s="197" customFormat="1" ht="15">
      <c r="A179" s="385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5"/>
      <c r="P179" s="385"/>
      <c r="Q179" s="385"/>
      <c r="R179" s="385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5"/>
      <c r="AG179" s="385"/>
      <c r="AH179" s="385"/>
      <c r="AI179" s="385"/>
      <c r="AJ179" s="224"/>
      <c r="AK179" s="210"/>
      <c r="AL179" s="210"/>
    </row>
    <row r="180" spans="1:38" s="197" customFormat="1">
      <c r="A180" s="538" t="s">
        <v>337</v>
      </c>
      <c r="B180" s="538"/>
      <c r="C180" s="538"/>
      <c r="D180" s="538"/>
      <c r="E180" s="538"/>
      <c r="F180" s="538"/>
      <c r="G180" s="538"/>
      <c r="H180" s="538"/>
      <c r="I180" s="538"/>
      <c r="J180" s="538"/>
      <c r="K180" s="538"/>
      <c r="L180" s="538"/>
      <c r="M180" s="538"/>
      <c r="N180" s="538"/>
      <c r="O180" s="538"/>
      <c r="P180" s="538"/>
      <c r="Q180" s="538"/>
      <c r="R180" s="538"/>
      <c r="S180" s="538"/>
      <c r="T180" s="538"/>
      <c r="U180" s="538"/>
      <c r="V180" s="538"/>
      <c r="W180" s="538"/>
      <c r="X180" s="538"/>
      <c r="Y180" s="538"/>
      <c r="Z180" s="538"/>
      <c r="AA180" s="538"/>
      <c r="AB180" s="538"/>
      <c r="AC180" s="538"/>
      <c r="AD180" s="538"/>
      <c r="AE180" s="538"/>
      <c r="AF180" s="538"/>
      <c r="AG180" s="538"/>
      <c r="AH180" s="538"/>
      <c r="AI180" s="538"/>
      <c r="AJ180" s="224"/>
      <c r="AK180" s="210"/>
      <c r="AL180" s="210"/>
    </row>
    <row r="181" spans="1:38" s="197" customFormat="1" ht="15">
      <c r="A181" s="385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5"/>
      <c r="P181" s="385"/>
      <c r="Q181" s="385"/>
      <c r="R181" s="385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5"/>
      <c r="AG181" s="385"/>
      <c r="AH181" s="385"/>
      <c r="AI181" s="385"/>
      <c r="AL181" s="210"/>
    </row>
    <row r="182" spans="1:38" s="197" customFormat="1">
      <c r="A182" s="200"/>
      <c r="B182" s="200"/>
      <c r="C182" s="200"/>
      <c r="D182" s="200"/>
      <c r="E182" s="200"/>
      <c r="F182" s="200"/>
      <c r="G182" s="528" t="s">
        <v>81</v>
      </c>
      <c r="H182" s="528"/>
      <c r="I182" s="200"/>
      <c r="J182" s="528" t="s">
        <v>338</v>
      </c>
      <c r="K182" s="528"/>
      <c r="L182" s="200"/>
      <c r="M182" s="200"/>
      <c r="N182" s="525" t="s">
        <v>339</v>
      </c>
      <c r="O182" s="525"/>
      <c r="P182" s="200"/>
      <c r="Q182" s="200"/>
      <c r="R182" s="528" t="s">
        <v>340</v>
      </c>
      <c r="S182" s="528"/>
      <c r="T182" s="200"/>
      <c r="U182" s="200"/>
      <c r="V182" s="528" t="s">
        <v>293</v>
      </c>
      <c r="W182" s="528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24"/>
      <c r="AK182" s="210"/>
      <c r="AL182" s="210"/>
    </row>
    <row r="183" spans="1:38" s="197" customFormat="1">
      <c r="A183" s="526" t="s">
        <v>350</v>
      </c>
      <c r="B183" s="526"/>
      <c r="C183" s="526"/>
      <c r="D183" s="526"/>
      <c r="E183" s="526"/>
      <c r="F183" s="526"/>
      <c r="G183" s="533">
        <f>C176</f>
        <v>41.6</v>
      </c>
      <c r="H183" s="533"/>
      <c r="I183" s="200" t="s">
        <v>196</v>
      </c>
      <c r="J183" s="531">
        <v>1.5</v>
      </c>
      <c r="K183" s="531"/>
      <c r="L183" s="526" t="s">
        <v>196</v>
      </c>
      <c r="M183" s="526"/>
      <c r="N183" s="532">
        <f>1.2+0.15</f>
        <v>1.35</v>
      </c>
      <c r="O183" s="532"/>
      <c r="P183" s="526" t="s">
        <v>196</v>
      </c>
      <c r="Q183" s="526"/>
      <c r="R183" s="531">
        <v>1</v>
      </c>
      <c r="S183" s="531"/>
      <c r="T183" s="526" t="s">
        <v>197</v>
      </c>
      <c r="U183" s="526"/>
      <c r="V183" s="527">
        <f>G183*J183*N183*R183</f>
        <v>84.24</v>
      </c>
      <c r="W183" s="527"/>
      <c r="X183" s="225" t="s">
        <v>58</v>
      </c>
      <c r="Y183" s="200"/>
      <c r="Z183" s="200"/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24"/>
      <c r="AK183" s="210"/>
      <c r="AL183" s="210"/>
    </row>
    <row r="184" spans="1:38" s="197" customFormat="1">
      <c r="A184" s="200" t="s">
        <v>341</v>
      </c>
      <c r="B184" s="200"/>
      <c r="C184" s="200"/>
      <c r="D184" s="200"/>
      <c r="E184" s="200"/>
      <c r="F184" s="200"/>
      <c r="G184" s="531">
        <v>1.5</v>
      </c>
      <c r="H184" s="531"/>
      <c r="I184" s="200" t="s">
        <v>196</v>
      </c>
      <c r="J184" s="531">
        <v>1.5</v>
      </c>
      <c r="K184" s="531"/>
      <c r="L184" s="526" t="s">
        <v>196</v>
      </c>
      <c r="M184" s="526"/>
      <c r="N184" s="532">
        <f>1.2+0.15</f>
        <v>1.35</v>
      </c>
      <c r="O184" s="532"/>
      <c r="P184" s="526" t="s">
        <v>196</v>
      </c>
      <c r="Q184" s="526"/>
      <c r="R184" s="531">
        <v>4</v>
      </c>
      <c r="S184" s="531"/>
      <c r="T184" s="526" t="s">
        <v>197</v>
      </c>
      <c r="U184" s="526"/>
      <c r="V184" s="527">
        <f t="shared" ref="V184" si="4">G184*J184*N184*R184</f>
        <v>12.15</v>
      </c>
      <c r="W184" s="527"/>
      <c r="X184" s="225" t="s">
        <v>58</v>
      </c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24"/>
      <c r="AK184" s="210"/>
      <c r="AL184" s="210"/>
    </row>
    <row r="185" spans="1:38" s="197" customFormat="1">
      <c r="A185" s="200"/>
      <c r="B185" s="200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199"/>
      <c r="O185" s="199"/>
      <c r="P185" s="200"/>
      <c r="Q185" s="200"/>
      <c r="R185" s="200"/>
      <c r="S185" s="199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24"/>
      <c r="AK185" s="210"/>
      <c r="AL185" s="210"/>
    </row>
    <row r="186" spans="1:38" s="197" customFormat="1">
      <c r="A186" s="200" t="s">
        <v>191</v>
      </c>
      <c r="B186" s="200"/>
      <c r="C186" s="531">
        <f>SUM(V183:W184)</f>
        <v>96.39</v>
      </c>
      <c r="D186" s="533"/>
      <c r="E186" s="200" t="s">
        <v>58</v>
      </c>
      <c r="F186" s="200"/>
      <c r="G186" s="200"/>
      <c r="H186" s="200"/>
      <c r="I186" s="200"/>
      <c r="J186" s="200"/>
      <c r="K186" s="200"/>
      <c r="L186" s="200"/>
      <c r="M186" s="200"/>
      <c r="N186" s="199"/>
      <c r="O186" s="199"/>
      <c r="P186" s="200"/>
      <c r="Q186" s="200"/>
      <c r="R186" s="200"/>
      <c r="S186" s="199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24"/>
      <c r="AK186" s="210"/>
      <c r="AL186" s="210"/>
    </row>
    <row r="187" spans="1:38" s="197" customFormat="1">
      <c r="A187" s="200"/>
      <c r="B187" s="200"/>
      <c r="C187" s="200"/>
      <c r="D187" s="200"/>
      <c r="E187" s="200"/>
      <c r="F187" s="200"/>
      <c r="G187" s="200"/>
      <c r="H187" s="200"/>
      <c r="I187" s="200"/>
      <c r="J187" s="200"/>
      <c r="K187" s="200"/>
      <c r="L187" s="200"/>
      <c r="M187" s="200"/>
      <c r="N187" s="199"/>
      <c r="O187" s="199"/>
      <c r="P187" s="200"/>
      <c r="Q187" s="200"/>
      <c r="R187" s="200"/>
      <c r="S187" s="199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24"/>
      <c r="AK187" s="210"/>
      <c r="AL187" s="210"/>
    </row>
    <row r="188" spans="1:38" s="197" customFormat="1" ht="31.5" customHeight="1">
      <c r="A188" s="529" t="s">
        <v>432</v>
      </c>
      <c r="B188" s="529"/>
      <c r="C188" s="529"/>
      <c r="D188" s="529"/>
      <c r="E188" s="529"/>
      <c r="F188" s="529"/>
      <c r="G188" s="529"/>
      <c r="H188" s="529"/>
      <c r="I188" s="529"/>
      <c r="J188" s="529"/>
      <c r="K188" s="529"/>
      <c r="L188" s="529"/>
      <c r="M188" s="529"/>
      <c r="N188" s="529"/>
      <c r="O188" s="529"/>
      <c r="P188" s="529"/>
      <c r="Q188" s="529"/>
      <c r="R188" s="529"/>
      <c r="S188" s="529"/>
      <c r="T188" s="529"/>
      <c r="U188" s="529"/>
      <c r="V188" s="529"/>
      <c r="W188" s="529"/>
      <c r="X188" s="529"/>
      <c r="Y188" s="529"/>
      <c r="Z188" s="529"/>
      <c r="AA188" s="529"/>
      <c r="AB188" s="529"/>
      <c r="AC188" s="529"/>
      <c r="AD188" s="529"/>
      <c r="AE188" s="529"/>
      <c r="AF188" s="529"/>
      <c r="AG188" s="529"/>
      <c r="AH188" s="529"/>
      <c r="AI188" s="529"/>
      <c r="AJ188" s="224"/>
      <c r="AK188" s="210"/>
      <c r="AL188" s="210"/>
    </row>
    <row r="189" spans="1:38" s="197" customFormat="1">
      <c r="A189" s="200"/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199"/>
      <c r="O189" s="199"/>
      <c r="P189" s="200"/>
      <c r="Q189" s="200"/>
      <c r="R189" s="200"/>
      <c r="S189" s="199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24"/>
      <c r="AK189" s="210"/>
      <c r="AL189" s="210"/>
    </row>
    <row r="190" spans="1:38" s="197" customFormat="1">
      <c r="A190" s="200"/>
      <c r="B190" s="200"/>
      <c r="C190" s="200"/>
      <c r="D190" s="200"/>
      <c r="E190" s="200"/>
      <c r="F190" s="200"/>
      <c r="G190" s="528" t="s">
        <v>81</v>
      </c>
      <c r="H190" s="528"/>
      <c r="I190" s="200"/>
      <c r="J190" s="525" t="s">
        <v>339</v>
      </c>
      <c r="K190" s="525"/>
      <c r="L190" s="200"/>
      <c r="M190" s="200"/>
      <c r="N190" s="528" t="s">
        <v>340</v>
      </c>
      <c r="O190" s="528"/>
      <c r="P190" s="200"/>
      <c r="Q190" s="200"/>
      <c r="R190" s="528" t="s">
        <v>293</v>
      </c>
      <c r="S190" s="528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24"/>
      <c r="AG190" s="210"/>
      <c r="AH190" s="210"/>
    </row>
    <row r="191" spans="1:38" s="197" customFormat="1">
      <c r="A191" s="526" t="s">
        <v>350</v>
      </c>
      <c r="B191" s="526"/>
      <c r="C191" s="526"/>
      <c r="D191" s="526"/>
      <c r="E191" s="526"/>
      <c r="F191" s="526"/>
      <c r="G191" s="533">
        <f>G183</f>
        <v>41.6</v>
      </c>
      <c r="H191" s="533"/>
      <c r="I191" s="200" t="s">
        <v>196</v>
      </c>
      <c r="J191" s="532">
        <f>1.2+0.15</f>
        <v>1.35</v>
      </c>
      <c r="K191" s="532"/>
      <c r="L191" s="526" t="s">
        <v>196</v>
      </c>
      <c r="M191" s="526"/>
      <c r="N191" s="531">
        <f>R183*2</f>
        <v>2</v>
      </c>
      <c r="O191" s="531"/>
      <c r="P191" s="526" t="s">
        <v>197</v>
      </c>
      <c r="Q191" s="526"/>
      <c r="R191" s="527">
        <f>G191*J191*N191</f>
        <v>112.32</v>
      </c>
      <c r="S191" s="527"/>
      <c r="T191" s="225" t="s">
        <v>85</v>
      </c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24"/>
      <c r="AG191" s="210"/>
      <c r="AH191" s="210"/>
    </row>
    <row r="192" spans="1:38" s="197" customFormat="1">
      <c r="A192" s="200" t="s">
        <v>341</v>
      </c>
      <c r="B192" s="200"/>
      <c r="C192" s="200"/>
      <c r="D192" s="200"/>
      <c r="E192" s="200"/>
      <c r="F192" s="200"/>
      <c r="G192" s="531">
        <v>1.5</v>
      </c>
      <c r="H192" s="531"/>
      <c r="I192" s="200" t="s">
        <v>196</v>
      </c>
      <c r="J192" s="532">
        <v>1.5</v>
      </c>
      <c r="K192" s="532"/>
      <c r="L192" s="526" t="s">
        <v>196</v>
      </c>
      <c r="M192" s="526"/>
      <c r="N192" s="531">
        <f>R184*2</f>
        <v>8</v>
      </c>
      <c r="O192" s="531"/>
      <c r="P192" s="526" t="s">
        <v>197</v>
      </c>
      <c r="Q192" s="526"/>
      <c r="R192" s="527">
        <f t="shared" ref="R192" si="5">G192*J192*N192</f>
        <v>18</v>
      </c>
      <c r="S192" s="527"/>
      <c r="T192" s="225" t="s">
        <v>85</v>
      </c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24"/>
      <c r="AG192" s="210"/>
      <c r="AH192" s="210"/>
    </row>
    <row r="193" spans="1:38" s="197" customFormat="1">
      <c r="A193" s="200"/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199"/>
      <c r="O193" s="199"/>
      <c r="P193" s="200"/>
      <c r="Q193" s="200"/>
      <c r="R193" s="200"/>
      <c r="S193" s="199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24"/>
      <c r="AK193" s="210"/>
      <c r="AL193" s="210"/>
    </row>
    <row r="194" spans="1:38" s="197" customFormat="1">
      <c r="A194" s="200" t="s">
        <v>191</v>
      </c>
      <c r="B194" s="200"/>
      <c r="C194" s="531">
        <f>SUM(R191:S192)</f>
        <v>130.32</v>
      </c>
      <c r="D194" s="533"/>
      <c r="E194" s="200" t="s">
        <v>85</v>
      </c>
      <c r="F194" s="200"/>
      <c r="G194" s="200"/>
      <c r="H194" s="200"/>
      <c r="I194" s="200"/>
      <c r="J194" s="200"/>
      <c r="K194" s="200"/>
      <c r="L194" s="200"/>
      <c r="M194" s="200"/>
      <c r="N194" s="199"/>
      <c r="O194" s="199"/>
      <c r="P194" s="200"/>
      <c r="Q194" s="200"/>
      <c r="R194" s="200"/>
      <c r="S194" s="199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24"/>
      <c r="AK194" s="210"/>
      <c r="AL194" s="210"/>
    </row>
    <row r="195" spans="1:38" s="197" customFormat="1">
      <c r="A195" s="200"/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199"/>
      <c r="O195" s="199"/>
      <c r="P195" s="200"/>
      <c r="Q195" s="200"/>
      <c r="R195" s="200"/>
      <c r="S195" s="199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24"/>
      <c r="AK195" s="210"/>
      <c r="AL195" s="210"/>
    </row>
    <row r="196" spans="1:38" s="197" customFormat="1" ht="15">
      <c r="A196" s="534" t="s">
        <v>354</v>
      </c>
      <c r="B196" s="534"/>
      <c r="C196" s="534"/>
      <c r="D196" s="534"/>
      <c r="E196" s="534"/>
      <c r="F196" s="534"/>
      <c r="G196" s="534"/>
      <c r="H196" s="534"/>
      <c r="I196" s="534"/>
      <c r="J196" s="534"/>
      <c r="K196" s="534"/>
      <c r="L196" s="534"/>
      <c r="M196" s="534"/>
      <c r="N196" s="534"/>
      <c r="O196" s="534"/>
      <c r="P196" s="534"/>
      <c r="Q196" s="534"/>
      <c r="R196" s="534"/>
      <c r="S196" s="534"/>
      <c r="T196" s="534"/>
      <c r="U196" s="534"/>
      <c r="V196" s="534"/>
      <c r="W196" s="534"/>
      <c r="X196" s="534"/>
      <c r="Y196" s="534"/>
      <c r="Z196" s="534"/>
      <c r="AA196" s="534"/>
      <c r="AB196" s="534"/>
      <c r="AC196" s="534"/>
      <c r="AD196" s="534"/>
      <c r="AE196" s="534"/>
      <c r="AF196" s="534"/>
      <c r="AG196" s="534"/>
      <c r="AH196" s="534"/>
      <c r="AI196" s="534"/>
      <c r="AJ196" s="224"/>
      <c r="AK196" s="210"/>
      <c r="AL196" s="210"/>
    </row>
    <row r="197" spans="1:38" s="197" customFormat="1">
      <c r="A197" s="200"/>
      <c r="B197" s="200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199"/>
      <c r="O197" s="199"/>
      <c r="P197" s="200"/>
      <c r="Q197" s="200"/>
      <c r="R197" s="200"/>
      <c r="S197" s="199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200"/>
      <c r="AF197" s="200"/>
      <c r="AG197" s="200"/>
      <c r="AH197" s="200"/>
      <c r="AI197" s="200"/>
      <c r="AJ197" s="224"/>
      <c r="AK197" s="210"/>
      <c r="AL197" s="210"/>
    </row>
    <row r="198" spans="1:38" s="197" customFormat="1">
      <c r="A198" s="526" t="s">
        <v>417</v>
      </c>
      <c r="B198" s="526"/>
      <c r="C198" s="526"/>
      <c r="D198" s="526"/>
      <c r="E198" s="526"/>
      <c r="F198" s="526"/>
      <c r="G198" s="526"/>
      <c r="H198" s="526"/>
      <c r="I198" s="526"/>
      <c r="J198" s="526"/>
      <c r="K198" s="526"/>
      <c r="L198" s="526"/>
      <c r="M198" s="526"/>
      <c r="N198" s="526"/>
      <c r="O198" s="526"/>
      <c r="P198" s="526"/>
      <c r="Q198" s="526"/>
      <c r="R198" s="526"/>
      <c r="S198" s="526"/>
      <c r="T198" s="526"/>
      <c r="U198" s="526"/>
      <c r="V198" s="526"/>
      <c r="W198" s="526"/>
      <c r="X198" s="526"/>
      <c r="Y198" s="526"/>
      <c r="Z198" s="526"/>
      <c r="AA198" s="526"/>
      <c r="AB198" s="526"/>
      <c r="AC198" s="526"/>
      <c r="AD198" s="526"/>
      <c r="AE198" s="526"/>
      <c r="AF198" s="526"/>
      <c r="AG198" s="526"/>
      <c r="AH198" s="526"/>
      <c r="AI198" s="526"/>
      <c r="AJ198" s="224"/>
      <c r="AK198" s="210"/>
      <c r="AL198" s="210"/>
    </row>
    <row r="199" spans="1:38" s="197" customFormat="1">
      <c r="A199" s="200"/>
      <c r="B199" s="200"/>
      <c r="C199" s="200"/>
      <c r="D199" s="200"/>
      <c r="E199" s="200"/>
      <c r="F199" s="200"/>
      <c r="G199" s="200"/>
      <c r="H199" s="200"/>
      <c r="I199" s="200"/>
      <c r="J199" s="200"/>
      <c r="K199" s="200"/>
      <c r="L199" s="200"/>
      <c r="M199" s="200"/>
      <c r="N199" s="199"/>
      <c r="O199" s="199"/>
      <c r="P199" s="200"/>
      <c r="Q199" s="200"/>
      <c r="R199" s="200"/>
      <c r="S199" s="199"/>
      <c r="T199" s="200"/>
      <c r="U199" s="200"/>
      <c r="V199" s="200"/>
      <c r="W199" s="200"/>
      <c r="X199" s="200"/>
      <c r="Y199" s="200"/>
      <c r="Z199" s="200"/>
      <c r="AA199" s="200"/>
      <c r="AB199" s="200"/>
      <c r="AC199" s="200"/>
      <c r="AD199" s="200"/>
      <c r="AE199" s="200"/>
      <c r="AF199" s="200"/>
      <c r="AG199" s="200"/>
      <c r="AH199" s="200"/>
      <c r="AI199" s="200"/>
      <c r="AJ199" s="224"/>
      <c r="AK199" s="210"/>
      <c r="AL199" s="210"/>
    </row>
    <row r="200" spans="1:38" s="197" customFormat="1">
      <c r="A200" s="200"/>
      <c r="B200" s="200"/>
      <c r="C200" s="200"/>
      <c r="D200" s="200"/>
      <c r="E200" s="200"/>
      <c r="F200" s="200"/>
      <c r="G200" s="528" t="s">
        <v>81</v>
      </c>
      <c r="H200" s="528"/>
      <c r="I200" s="200"/>
      <c r="J200" s="528" t="s">
        <v>338</v>
      </c>
      <c r="K200" s="528"/>
      <c r="L200" s="200"/>
      <c r="M200" s="200"/>
      <c r="N200" s="525" t="s">
        <v>339</v>
      </c>
      <c r="O200" s="525"/>
      <c r="P200" s="200"/>
      <c r="Q200" s="200"/>
      <c r="R200" s="528" t="s">
        <v>340</v>
      </c>
      <c r="S200" s="528"/>
      <c r="T200" s="200"/>
      <c r="U200" s="200"/>
      <c r="V200" s="528" t="s">
        <v>293</v>
      </c>
      <c r="W200" s="528"/>
      <c r="X200" s="200"/>
      <c r="Y200" s="200"/>
      <c r="Z200" s="200"/>
      <c r="AA200" s="200"/>
      <c r="AB200" s="200"/>
      <c r="AC200" s="200"/>
      <c r="AD200" s="200"/>
      <c r="AE200" s="200"/>
      <c r="AF200" s="200"/>
      <c r="AG200" s="200"/>
      <c r="AH200" s="200"/>
      <c r="AI200" s="200"/>
      <c r="AJ200" s="224"/>
      <c r="AK200" s="210"/>
      <c r="AL200" s="210"/>
    </row>
    <row r="201" spans="1:38" s="197" customFormat="1">
      <c r="A201" s="526" t="s">
        <v>350</v>
      </c>
      <c r="B201" s="526"/>
      <c r="C201" s="526"/>
      <c r="D201" s="526"/>
      <c r="E201" s="526"/>
      <c r="F201" s="526"/>
      <c r="G201" s="533">
        <f>G191</f>
        <v>41.6</v>
      </c>
      <c r="H201" s="533"/>
      <c r="I201" s="200" t="s">
        <v>196</v>
      </c>
      <c r="J201" s="531">
        <v>1.5</v>
      </c>
      <c r="K201" s="531"/>
      <c r="L201" s="526" t="s">
        <v>196</v>
      </c>
      <c r="M201" s="526"/>
      <c r="N201" s="532">
        <v>0.15</v>
      </c>
      <c r="O201" s="532"/>
      <c r="P201" s="526" t="s">
        <v>196</v>
      </c>
      <c r="Q201" s="526"/>
      <c r="R201" s="531">
        <v>1</v>
      </c>
      <c r="S201" s="531"/>
      <c r="T201" s="526" t="s">
        <v>197</v>
      </c>
      <c r="U201" s="526"/>
      <c r="V201" s="527">
        <f>G201*J201*N201*R201</f>
        <v>9.36</v>
      </c>
      <c r="W201" s="527"/>
      <c r="X201" s="225" t="s">
        <v>58</v>
      </c>
      <c r="Y201" s="200"/>
      <c r="Z201" s="200"/>
      <c r="AA201" s="200"/>
      <c r="AB201" s="200"/>
      <c r="AC201" s="200"/>
      <c r="AD201" s="200"/>
      <c r="AE201" s="200"/>
      <c r="AF201" s="200"/>
      <c r="AG201" s="200"/>
      <c r="AH201" s="200"/>
      <c r="AI201" s="200"/>
      <c r="AJ201" s="224"/>
      <c r="AK201" s="210"/>
      <c r="AL201" s="210"/>
    </row>
    <row r="202" spans="1:38" s="197" customFormat="1">
      <c r="A202" s="215"/>
      <c r="B202" s="215"/>
      <c r="C202" s="215"/>
      <c r="D202" s="215"/>
      <c r="E202" s="215"/>
      <c r="F202" s="215"/>
      <c r="G202" s="205"/>
      <c r="H202" s="205"/>
      <c r="I202" s="200"/>
      <c r="J202" s="216"/>
      <c r="K202" s="216"/>
      <c r="L202" s="215"/>
      <c r="M202" s="215"/>
      <c r="N202" s="204"/>
      <c r="O202" s="204"/>
      <c r="P202" s="215"/>
      <c r="Q202" s="215"/>
      <c r="R202" s="216"/>
      <c r="S202" s="216"/>
      <c r="T202" s="215"/>
      <c r="U202" s="215"/>
      <c r="V202" s="219"/>
      <c r="W202" s="219"/>
      <c r="X202" s="225"/>
      <c r="Y202" s="200"/>
      <c r="Z202" s="200"/>
      <c r="AA202" s="200"/>
      <c r="AB202" s="200"/>
      <c r="AC202" s="200"/>
      <c r="AD202" s="200"/>
      <c r="AE202" s="200"/>
      <c r="AF202" s="200"/>
      <c r="AG202" s="200"/>
      <c r="AH202" s="200"/>
      <c r="AI202" s="200"/>
      <c r="AJ202" s="224"/>
      <c r="AK202" s="210"/>
      <c r="AL202" s="210"/>
    </row>
    <row r="203" spans="1:38" s="197" customFormat="1">
      <c r="A203" s="200" t="s">
        <v>191</v>
      </c>
      <c r="B203" s="200"/>
      <c r="C203" s="531">
        <f>SUM(V201:W201)</f>
        <v>9.36</v>
      </c>
      <c r="D203" s="533"/>
      <c r="E203" s="200" t="s">
        <v>58</v>
      </c>
      <c r="F203" s="200"/>
      <c r="G203" s="200"/>
      <c r="H203" s="200"/>
      <c r="I203" s="200"/>
      <c r="J203" s="200"/>
      <c r="K203" s="200"/>
      <c r="L203" s="200"/>
      <c r="M203" s="200"/>
      <c r="N203" s="199"/>
      <c r="O203" s="199"/>
      <c r="P203" s="200"/>
      <c r="Q203" s="200"/>
      <c r="R203" s="200"/>
      <c r="S203" s="199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24"/>
      <c r="AK203" s="210"/>
      <c r="AL203" s="210"/>
    </row>
    <row r="204" spans="1:38" s="197" customFormat="1">
      <c r="A204" s="200"/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199"/>
      <c r="O204" s="199"/>
      <c r="P204" s="200"/>
      <c r="Q204" s="200"/>
      <c r="R204" s="200"/>
      <c r="S204" s="199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24"/>
      <c r="AK204" s="210"/>
      <c r="AL204" s="210"/>
    </row>
    <row r="205" spans="1:38" s="197" customFormat="1" ht="29.25" customHeight="1">
      <c r="A205" s="529" t="s">
        <v>414</v>
      </c>
      <c r="B205" s="529"/>
      <c r="C205" s="529"/>
      <c r="D205" s="529"/>
      <c r="E205" s="529"/>
      <c r="F205" s="529"/>
      <c r="G205" s="529"/>
      <c r="H205" s="529"/>
      <c r="I205" s="529"/>
      <c r="J205" s="529"/>
      <c r="K205" s="529"/>
      <c r="L205" s="529"/>
      <c r="M205" s="529"/>
      <c r="N205" s="529"/>
      <c r="O205" s="529"/>
      <c r="P205" s="529"/>
      <c r="Q205" s="529"/>
      <c r="R205" s="529"/>
      <c r="S205" s="529"/>
      <c r="T205" s="529"/>
      <c r="U205" s="529"/>
      <c r="V205" s="529"/>
      <c r="W205" s="529"/>
      <c r="X205" s="529"/>
      <c r="Y205" s="529"/>
      <c r="Z205" s="529"/>
      <c r="AA205" s="529"/>
      <c r="AB205" s="529"/>
      <c r="AC205" s="529"/>
      <c r="AD205" s="529"/>
      <c r="AE205" s="529"/>
      <c r="AF205" s="529"/>
      <c r="AG205" s="529"/>
      <c r="AH205" s="529"/>
      <c r="AI205" s="529"/>
      <c r="AJ205" s="224"/>
      <c r="AK205" s="210"/>
      <c r="AL205" s="210"/>
    </row>
    <row r="206" spans="1:38" s="197" customFormat="1">
      <c r="A206" s="200"/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199"/>
      <c r="O206" s="199"/>
      <c r="P206" s="200"/>
      <c r="Q206" s="200"/>
      <c r="R206" s="200"/>
      <c r="S206" s="199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/>
      <c r="AF206" s="200"/>
      <c r="AG206" s="200"/>
      <c r="AH206" s="200"/>
      <c r="AI206" s="200"/>
      <c r="AJ206" s="224"/>
      <c r="AK206" s="210"/>
      <c r="AL206" s="210"/>
    </row>
    <row r="207" spans="1:38" s="197" customFormat="1">
      <c r="A207" s="530" t="s">
        <v>330</v>
      </c>
      <c r="B207" s="530"/>
      <c r="C207" s="530"/>
      <c r="D207" s="530"/>
      <c r="E207" s="530"/>
      <c r="F207" s="530"/>
      <c r="G207" s="530"/>
      <c r="H207" s="530"/>
      <c r="I207" s="530"/>
      <c r="J207" s="530"/>
      <c r="K207" s="530"/>
      <c r="L207" s="530"/>
      <c r="M207" s="530"/>
      <c r="N207" s="530"/>
      <c r="O207" s="530"/>
      <c r="P207" s="530"/>
      <c r="Q207" s="530"/>
      <c r="R207" s="530"/>
      <c r="S207" s="530"/>
      <c r="T207" s="530"/>
      <c r="U207" s="530"/>
      <c r="V207" s="530"/>
      <c r="W207" s="530"/>
      <c r="X207" s="530"/>
      <c r="Y207" s="530"/>
      <c r="Z207" s="530"/>
      <c r="AA207" s="530"/>
      <c r="AB207" s="530"/>
      <c r="AC207" s="530"/>
      <c r="AD207" s="530"/>
      <c r="AE207" s="530"/>
      <c r="AF207" s="530"/>
      <c r="AG207" s="530"/>
      <c r="AH207" s="530"/>
      <c r="AI207" s="530"/>
      <c r="AJ207" s="224"/>
      <c r="AK207" s="210"/>
      <c r="AL207" s="210"/>
    </row>
    <row r="208" spans="1:38" s="197" customFormat="1">
      <c r="A208" s="200"/>
      <c r="B208" s="200"/>
      <c r="C208" s="200"/>
      <c r="D208" s="200"/>
      <c r="E208" s="200"/>
      <c r="F208" s="200"/>
      <c r="G208" s="200"/>
      <c r="H208" s="200"/>
      <c r="I208" s="200"/>
      <c r="J208" s="200"/>
      <c r="K208" s="200"/>
      <c r="L208" s="200"/>
      <c r="M208" s="200"/>
      <c r="N208" s="199"/>
      <c r="O208" s="199"/>
      <c r="P208" s="200"/>
      <c r="Q208" s="200"/>
      <c r="R208" s="200"/>
      <c r="S208" s="199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/>
      <c r="AF208" s="200"/>
      <c r="AG208" s="200"/>
      <c r="AH208" s="200"/>
      <c r="AI208" s="200"/>
      <c r="AJ208" s="226"/>
      <c r="AK208" s="210"/>
      <c r="AL208" s="210"/>
    </row>
    <row r="209" spans="1:41" s="197" customFormat="1">
      <c r="A209" s="526" t="s">
        <v>350</v>
      </c>
      <c r="B209" s="526"/>
      <c r="C209" s="526"/>
      <c r="D209" s="526"/>
      <c r="E209" s="526"/>
      <c r="F209" s="526"/>
      <c r="G209" s="533">
        <f>G201</f>
        <v>41.6</v>
      </c>
      <c r="H209" s="533"/>
      <c r="I209" s="200" t="s">
        <v>148</v>
      </c>
      <c r="J209" s="225"/>
      <c r="K209" s="225"/>
      <c r="L209" s="200"/>
      <c r="M209" s="200"/>
      <c r="N209" s="200"/>
      <c r="O209" s="200"/>
      <c r="P209" s="200"/>
      <c r="Q209" s="200"/>
      <c r="R209" s="200"/>
      <c r="S209" s="200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24"/>
      <c r="AK209" s="210"/>
      <c r="AL209" s="210"/>
    </row>
    <row r="210" spans="1:41" s="197" customFormat="1">
      <c r="A210" s="215"/>
      <c r="B210" s="215"/>
      <c r="C210" s="215"/>
      <c r="D210" s="215"/>
      <c r="E210" s="215"/>
      <c r="F210" s="215"/>
      <c r="G210" s="205"/>
      <c r="H210" s="205"/>
      <c r="I210" s="200"/>
      <c r="J210" s="216"/>
      <c r="K210" s="216"/>
      <c r="L210" s="214"/>
      <c r="M210" s="214"/>
      <c r="N210" s="200"/>
      <c r="O210" s="200"/>
      <c r="P210" s="200"/>
      <c r="Q210" s="200"/>
      <c r="R210" s="200"/>
      <c r="S210" s="200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24"/>
      <c r="AK210" s="210"/>
      <c r="AL210" s="210"/>
    </row>
    <row r="211" spans="1:41" s="197" customFormat="1">
      <c r="A211" s="526" t="s">
        <v>191</v>
      </c>
      <c r="B211" s="526"/>
      <c r="C211" s="533">
        <f>SUM(G209:H209)</f>
        <v>41.6</v>
      </c>
      <c r="D211" s="533"/>
      <c r="E211" s="215" t="s">
        <v>148</v>
      </c>
      <c r="F211" s="215"/>
      <c r="G211" s="205"/>
      <c r="H211" s="205"/>
      <c r="I211" s="200"/>
      <c r="J211" s="216"/>
      <c r="K211" s="216"/>
      <c r="L211" s="214"/>
      <c r="M211" s="214"/>
      <c r="N211" s="200"/>
      <c r="O211" s="200"/>
      <c r="P211" s="200"/>
      <c r="Q211" s="200"/>
      <c r="R211" s="200"/>
      <c r="S211" s="200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24"/>
      <c r="AK211" s="210"/>
      <c r="AL211" s="210"/>
    </row>
    <row r="212" spans="1:41" s="197" customFormat="1">
      <c r="A212" s="215"/>
      <c r="B212" s="215"/>
      <c r="C212" s="215"/>
      <c r="D212" s="215"/>
      <c r="E212" s="215"/>
      <c r="F212" s="215"/>
      <c r="G212" s="205"/>
      <c r="H212" s="205"/>
      <c r="I212" s="200"/>
      <c r="J212" s="216"/>
      <c r="K212" s="216"/>
      <c r="L212" s="214"/>
      <c r="M212" s="214"/>
      <c r="N212" s="200"/>
      <c r="O212" s="200"/>
      <c r="P212" s="200"/>
      <c r="Q212" s="200"/>
      <c r="R212" s="200"/>
      <c r="S212" s="200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24"/>
      <c r="AK212" s="210"/>
      <c r="AL212" s="210"/>
    </row>
    <row r="213" spans="1:41" s="197" customFormat="1" ht="15">
      <c r="A213" s="534" t="s">
        <v>415</v>
      </c>
      <c r="B213" s="534"/>
      <c r="C213" s="534"/>
      <c r="D213" s="534"/>
      <c r="E213" s="534"/>
      <c r="F213" s="534"/>
      <c r="G213" s="534"/>
      <c r="H213" s="534"/>
      <c r="I213" s="534"/>
      <c r="J213" s="534"/>
      <c r="K213" s="534"/>
      <c r="L213" s="534"/>
      <c r="M213" s="534"/>
      <c r="N213" s="534"/>
      <c r="O213" s="534"/>
      <c r="P213" s="534"/>
      <c r="Q213" s="534"/>
      <c r="R213" s="534"/>
      <c r="S213" s="534"/>
      <c r="T213" s="534"/>
      <c r="U213" s="534"/>
      <c r="V213" s="534"/>
      <c r="W213" s="534"/>
      <c r="X213" s="534"/>
      <c r="Y213" s="534"/>
      <c r="Z213" s="534"/>
      <c r="AA213" s="534"/>
      <c r="AB213" s="534"/>
      <c r="AC213" s="534"/>
      <c r="AD213" s="534"/>
      <c r="AE213" s="534"/>
      <c r="AF213" s="534"/>
      <c r="AG213" s="534"/>
      <c r="AH213" s="534"/>
      <c r="AI213" s="534"/>
      <c r="AJ213" s="224"/>
      <c r="AK213" s="210"/>
      <c r="AL213" s="210"/>
    </row>
    <row r="214" spans="1:41" s="197" customFormat="1" ht="15" customHeight="1">
      <c r="A214" s="200"/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199"/>
      <c r="O214" s="199"/>
      <c r="P214" s="200"/>
      <c r="Q214" s="200"/>
      <c r="R214" s="200"/>
      <c r="S214" s="199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24"/>
      <c r="AK214" s="210"/>
      <c r="AL214" s="210"/>
    </row>
    <row r="215" spans="1:41" s="197" customFormat="1">
      <c r="A215" s="535" t="s">
        <v>342</v>
      </c>
      <c r="B215" s="535"/>
      <c r="C215" s="535"/>
      <c r="D215" s="535"/>
      <c r="E215" s="535"/>
      <c r="F215" s="535"/>
      <c r="G215" s="535"/>
      <c r="H215" s="535"/>
      <c r="I215" s="535"/>
      <c r="J215" s="535"/>
      <c r="K215" s="535"/>
      <c r="L215" s="535"/>
      <c r="M215" s="535"/>
      <c r="N215" s="535"/>
      <c r="O215" s="535"/>
      <c r="P215" s="535"/>
      <c r="Q215" s="535"/>
      <c r="R215" s="535"/>
      <c r="S215" s="535"/>
      <c r="T215" s="535"/>
      <c r="U215" s="535"/>
      <c r="V215" s="535"/>
      <c r="W215" s="535"/>
      <c r="X215" s="535"/>
      <c r="Y215" s="535"/>
      <c r="Z215" s="535"/>
      <c r="AA215" s="535"/>
      <c r="AB215" s="535"/>
      <c r="AC215" s="535"/>
      <c r="AD215" s="535"/>
      <c r="AE215" s="535"/>
      <c r="AF215" s="535"/>
      <c r="AG215" s="535"/>
      <c r="AH215" s="535"/>
      <c r="AI215" s="535"/>
      <c r="AJ215" s="224"/>
      <c r="AK215" s="210"/>
      <c r="AL215" s="210"/>
      <c r="AM215" s="227"/>
      <c r="AN215" s="228"/>
      <c r="AO215" s="228"/>
    </row>
    <row r="216" spans="1:41" s="197" customFormat="1">
      <c r="A216" s="200"/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199"/>
      <c r="O216" s="199"/>
      <c r="P216" s="200"/>
      <c r="Q216" s="200"/>
      <c r="R216" s="200"/>
      <c r="S216" s="199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24"/>
      <c r="AK216" s="210"/>
      <c r="AL216" s="210"/>
    </row>
    <row r="217" spans="1:41" s="197" customFormat="1">
      <c r="A217" s="526" t="s">
        <v>343</v>
      </c>
      <c r="B217" s="526"/>
      <c r="C217" s="526"/>
      <c r="D217" s="526"/>
      <c r="E217" s="526"/>
      <c r="F217" s="526"/>
      <c r="G217" s="536">
        <f>C186</f>
        <v>96.39</v>
      </c>
      <c r="H217" s="537"/>
      <c r="I217" s="200" t="s">
        <v>58</v>
      </c>
      <c r="J217" s="200"/>
      <c r="K217" s="200"/>
      <c r="L217" s="200"/>
      <c r="M217" s="200"/>
      <c r="N217" s="199"/>
      <c r="O217" s="199"/>
      <c r="P217" s="200"/>
      <c r="Q217" s="200"/>
      <c r="R217" s="200"/>
      <c r="S217" s="199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24"/>
      <c r="AK217" s="210"/>
      <c r="AL217" s="210"/>
    </row>
    <row r="218" spans="1:41" s="197" customFormat="1">
      <c r="A218" s="200"/>
      <c r="B218" s="200"/>
      <c r="C218" s="200"/>
      <c r="D218" s="200"/>
      <c r="E218" s="200"/>
      <c r="F218" s="200"/>
      <c r="G218" s="200"/>
      <c r="H218" s="200"/>
      <c r="I218" s="200"/>
      <c r="J218" s="200"/>
      <c r="K218" s="200"/>
      <c r="L218" s="200"/>
      <c r="M218" s="200"/>
      <c r="N218" s="199"/>
      <c r="O218" s="199"/>
      <c r="P218" s="200"/>
      <c r="Q218" s="200"/>
      <c r="R218" s="200"/>
      <c r="S218" s="199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/>
      <c r="AD218" s="200"/>
      <c r="AE218" s="200"/>
      <c r="AF218" s="200"/>
      <c r="AG218" s="200"/>
      <c r="AH218" s="200"/>
      <c r="AI218" s="200"/>
      <c r="AJ218" s="224"/>
      <c r="AK218" s="210"/>
      <c r="AL218" s="210"/>
    </row>
    <row r="219" spans="1:41" s="197" customFormat="1">
      <c r="A219" s="200" t="s">
        <v>199</v>
      </c>
      <c r="B219" s="200"/>
      <c r="C219" s="200"/>
      <c r="D219" s="200"/>
      <c r="E219" s="200"/>
      <c r="F219" s="200"/>
      <c r="G219" s="200"/>
      <c r="H219" s="200"/>
      <c r="I219" s="200"/>
      <c r="J219" s="200"/>
      <c r="K219" s="200"/>
      <c r="L219" s="200"/>
      <c r="M219" s="200"/>
      <c r="N219" s="199"/>
      <c r="O219" s="199"/>
      <c r="P219" s="200"/>
      <c r="Q219" s="200"/>
      <c r="R219" s="200"/>
      <c r="S219" s="199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/>
      <c r="AF219" s="200"/>
      <c r="AG219" s="200"/>
      <c r="AH219" s="200"/>
      <c r="AI219" s="200"/>
      <c r="AJ219" s="224"/>
      <c r="AK219" s="210"/>
      <c r="AL219" s="210"/>
    </row>
    <row r="220" spans="1:41" s="197" customFormat="1">
      <c r="A220" s="200"/>
      <c r="B220" s="200"/>
      <c r="C220" s="200"/>
      <c r="D220" s="200"/>
      <c r="E220" s="200"/>
      <c r="F220" s="200"/>
      <c r="G220" s="200"/>
      <c r="H220" s="200"/>
      <c r="I220" s="200"/>
      <c r="J220" s="200"/>
      <c r="K220" s="200"/>
      <c r="L220" s="200"/>
      <c r="M220" s="200"/>
      <c r="N220" s="199"/>
      <c r="O220" s="199"/>
      <c r="P220" s="200"/>
      <c r="Q220" s="200"/>
      <c r="R220" s="200"/>
      <c r="S220" s="199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24"/>
      <c r="AK220" s="210"/>
      <c r="AL220" s="210"/>
    </row>
    <row r="221" spans="1:41" s="197" customFormat="1">
      <c r="A221" s="526" t="s">
        <v>344</v>
      </c>
      <c r="B221" s="526"/>
      <c r="C221" s="526"/>
      <c r="D221" s="526"/>
      <c r="E221" s="526"/>
      <c r="F221" s="526"/>
      <c r="G221" s="531">
        <f>C203</f>
        <v>9.36</v>
      </c>
      <c r="H221" s="533"/>
      <c r="I221" s="200" t="s">
        <v>58</v>
      </c>
      <c r="J221" s="200"/>
      <c r="K221" s="200"/>
      <c r="L221" s="200"/>
      <c r="M221" s="200"/>
      <c r="N221" s="199"/>
      <c r="O221" s="199"/>
      <c r="P221" s="200"/>
      <c r="Q221" s="200"/>
      <c r="R221" s="200"/>
      <c r="S221" s="199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00"/>
      <c r="AF221" s="200"/>
      <c r="AG221" s="200"/>
      <c r="AH221" s="200"/>
      <c r="AI221" s="200"/>
      <c r="AJ221" s="224"/>
      <c r="AK221" s="210"/>
      <c r="AL221" s="210"/>
    </row>
    <row r="222" spans="1:41" s="197" customFormat="1">
      <c r="A222" s="200"/>
      <c r="B222" s="200"/>
      <c r="C222" s="200"/>
      <c r="D222" s="200"/>
      <c r="E222" s="200"/>
      <c r="F222" s="200"/>
      <c r="G222" s="200"/>
      <c r="H222" s="200"/>
      <c r="I222" s="200"/>
      <c r="J222" s="200"/>
      <c r="K222" s="200"/>
      <c r="L222" s="200"/>
      <c r="M222" s="200"/>
      <c r="N222" s="199"/>
      <c r="O222" s="199"/>
      <c r="P222" s="200"/>
      <c r="Q222" s="200"/>
      <c r="R222" s="200"/>
      <c r="S222" s="199"/>
      <c r="T222" s="200"/>
      <c r="U222" s="200"/>
      <c r="V222" s="200"/>
      <c r="W222" s="200"/>
      <c r="X222" s="200"/>
      <c r="Y222" s="200"/>
      <c r="Z222" s="200"/>
      <c r="AA222" s="200"/>
      <c r="AB222" s="200"/>
      <c r="AC222" s="200"/>
      <c r="AD222" s="200"/>
      <c r="AE222" s="528"/>
      <c r="AF222" s="528"/>
      <c r="AG222" s="200"/>
      <c r="AH222" s="200"/>
      <c r="AI222" s="200"/>
      <c r="AJ222" s="224"/>
      <c r="AK222" s="210"/>
      <c r="AL222" s="210"/>
    </row>
    <row r="223" spans="1:41" s="197" customFormat="1">
      <c r="A223" s="526" t="s">
        <v>345</v>
      </c>
      <c r="B223" s="526"/>
      <c r="C223" s="526"/>
      <c r="D223" s="526"/>
      <c r="E223" s="526"/>
      <c r="F223" s="526"/>
      <c r="G223" s="528" t="s">
        <v>81</v>
      </c>
      <c r="H223" s="528"/>
      <c r="I223" s="200"/>
      <c r="J223" s="528" t="s">
        <v>346</v>
      </c>
      <c r="K223" s="528"/>
      <c r="L223" s="200"/>
      <c r="M223" s="200"/>
      <c r="N223" s="199" t="s">
        <v>293</v>
      </c>
      <c r="O223" s="199"/>
      <c r="P223" s="200"/>
      <c r="Q223" s="200"/>
      <c r="R223" s="200"/>
      <c r="S223" s="199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200"/>
      <c r="AE223" s="200"/>
      <c r="AF223" s="200"/>
      <c r="AG223" s="200"/>
      <c r="AH223" s="200"/>
      <c r="AI223" s="200"/>
      <c r="AJ223" s="224"/>
      <c r="AK223" s="210"/>
      <c r="AL223" s="210"/>
    </row>
    <row r="224" spans="1:41" s="197" customFormat="1">
      <c r="A224" s="526" t="s">
        <v>350</v>
      </c>
      <c r="B224" s="526"/>
      <c r="C224" s="526"/>
      <c r="D224" s="526"/>
      <c r="E224" s="526"/>
      <c r="F224" s="526"/>
      <c r="G224" s="533">
        <f>G201</f>
        <v>41.6</v>
      </c>
      <c r="H224" s="533"/>
      <c r="I224" s="200" t="s">
        <v>196</v>
      </c>
      <c r="J224" s="531">
        <v>0.17</v>
      </c>
      <c r="K224" s="531"/>
      <c r="L224" s="526" t="s">
        <v>206</v>
      </c>
      <c r="M224" s="526"/>
      <c r="N224" s="525">
        <f>G224*J224</f>
        <v>7.07</v>
      </c>
      <c r="O224" s="525"/>
      <c r="P224" s="199" t="s">
        <v>58</v>
      </c>
      <c r="Q224" s="200"/>
      <c r="R224" s="200"/>
      <c r="S224" s="199"/>
      <c r="T224" s="200"/>
      <c r="U224" s="200"/>
      <c r="V224" s="200"/>
      <c r="W224" s="200"/>
      <c r="X224" s="200"/>
      <c r="Y224" s="200"/>
      <c r="Z224" s="200"/>
      <c r="AA224" s="528"/>
      <c r="AB224" s="528"/>
      <c r="AC224" s="200"/>
      <c r="AD224" s="200"/>
      <c r="AE224" s="200"/>
      <c r="AF224" s="200"/>
      <c r="AG224" s="200"/>
      <c r="AH224" s="200"/>
      <c r="AI224" s="200"/>
      <c r="AJ224" s="224"/>
      <c r="AK224" s="210"/>
      <c r="AL224" s="210"/>
    </row>
    <row r="225" spans="1:38" s="197" customFormat="1">
      <c r="A225" s="200"/>
      <c r="B225" s="200"/>
      <c r="C225" s="200"/>
      <c r="D225" s="200"/>
      <c r="E225" s="200"/>
      <c r="F225" s="200"/>
      <c r="G225" s="200"/>
      <c r="H225" s="200"/>
      <c r="I225" s="200"/>
      <c r="J225" s="200"/>
      <c r="K225" s="200"/>
      <c r="L225" s="200"/>
      <c r="M225" s="200"/>
      <c r="N225" s="199"/>
      <c r="O225" s="199"/>
      <c r="P225" s="200"/>
      <c r="Q225" s="200"/>
      <c r="R225" s="200"/>
      <c r="S225" s="199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/>
      <c r="AD225" s="200"/>
      <c r="AE225" s="200"/>
      <c r="AF225" s="200"/>
      <c r="AG225" s="200"/>
      <c r="AH225" s="200"/>
      <c r="AI225" s="200"/>
      <c r="AJ225" s="224"/>
      <c r="AK225" s="210"/>
      <c r="AL225" s="210"/>
    </row>
    <row r="226" spans="1:38" s="197" customFormat="1">
      <c r="A226" s="526" t="s">
        <v>347</v>
      </c>
      <c r="B226" s="526"/>
      <c r="C226" s="526"/>
      <c r="D226" s="526"/>
      <c r="E226" s="526"/>
      <c r="F226" s="526"/>
      <c r="G226" s="528" t="s">
        <v>81</v>
      </c>
      <c r="H226" s="528"/>
      <c r="I226" s="200"/>
      <c r="J226" s="528" t="s">
        <v>338</v>
      </c>
      <c r="K226" s="528"/>
      <c r="L226" s="200"/>
      <c r="N226" s="528" t="s">
        <v>348</v>
      </c>
      <c r="O226" s="528"/>
      <c r="P226" s="199"/>
      <c r="Q226" s="200"/>
      <c r="R226" s="528" t="s">
        <v>340</v>
      </c>
      <c r="S226" s="528"/>
      <c r="T226" s="199"/>
      <c r="U226" s="200"/>
      <c r="V226" s="200" t="s">
        <v>293</v>
      </c>
      <c r="W226" s="200"/>
      <c r="X226" s="200"/>
      <c r="Y226" s="200"/>
      <c r="Z226" s="200"/>
      <c r="AA226" s="200"/>
      <c r="AB226" s="200"/>
      <c r="AC226" s="200"/>
      <c r="AD226" s="200"/>
      <c r="AE226" s="200"/>
      <c r="AF226" s="200"/>
      <c r="AG226" s="200"/>
      <c r="AH226" s="200"/>
      <c r="AI226" s="200"/>
      <c r="AJ226" s="224"/>
      <c r="AK226" s="210"/>
      <c r="AL226" s="210"/>
    </row>
    <row r="227" spans="1:38" s="197" customFormat="1">
      <c r="A227" s="526" t="s">
        <v>341</v>
      </c>
      <c r="B227" s="526"/>
      <c r="C227" s="526"/>
      <c r="D227" s="526"/>
      <c r="E227" s="526"/>
      <c r="F227" s="526"/>
      <c r="G227" s="531">
        <v>1.5</v>
      </c>
      <c r="H227" s="531"/>
      <c r="I227" s="200" t="s">
        <v>196</v>
      </c>
      <c r="J227" s="531">
        <v>1.5</v>
      </c>
      <c r="K227" s="531"/>
      <c r="L227" s="526" t="s">
        <v>196</v>
      </c>
      <c r="M227" s="526"/>
      <c r="N227" s="532">
        <v>1.23</v>
      </c>
      <c r="O227" s="532"/>
      <c r="P227" s="528" t="s">
        <v>196</v>
      </c>
      <c r="Q227" s="528"/>
      <c r="R227" s="531">
        <f>B237</f>
        <v>4</v>
      </c>
      <c r="S227" s="531"/>
      <c r="T227" s="526" t="s">
        <v>197</v>
      </c>
      <c r="U227" s="526"/>
      <c r="V227" s="527">
        <f>G227*J227*N227*R227</f>
        <v>11.07</v>
      </c>
      <c r="W227" s="527"/>
      <c r="X227" s="200" t="s">
        <v>58</v>
      </c>
      <c r="Y227" s="200"/>
      <c r="Z227" s="200"/>
      <c r="AA227" s="200"/>
      <c r="AB227" s="200"/>
      <c r="AC227" s="200"/>
      <c r="AD227" s="200"/>
      <c r="AE227" s="200"/>
      <c r="AF227" s="200"/>
      <c r="AG227" s="200"/>
      <c r="AH227" s="200"/>
      <c r="AI227" s="200"/>
      <c r="AJ227" s="224"/>
      <c r="AK227" s="210"/>
      <c r="AL227" s="210"/>
    </row>
    <row r="228" spans="1:38" s="197" customFormat="1">
      <c r="A228" s="215"/>
      <c r="B228" s="215"/>
      <c r="C228" s="215"/>
      <c r="D228" s="215"/>
      <c r="E228" s="215"/>
      <c r="F228" s="215"/>
      <c r="G228" s="216"/>
      <c r="H228" s="216"/>
      <c r="I228" s="200"/>
      <c r="J228" s="216"/>
      <c r="K228" s="216"/>
      <c r="L228" s="215"/>
      <c r="M228" s="215"/>
      <c r="N228" s="204"/>
      <c r="O228" s="204"/>
      <c r="P228" s="214"/>
      <c r="Q228" s="214"/>
      <c r="R228" s="216"/>
      <c r="S228" s="216"/>
      <c r="T228" s="215"/>
      <c r="U228" s="215"/>
      <c r="V228" s="219"/>
      <c r="W228" s="219"/>
      <c r="X228" s="200"/>
      <c r="Y228" s="200"/>
      <c r="Z228" s="200"/>
      <c r="AA228" s="200"/>
      <c r="AB228" s="200"/>
      <c r="AC228" s="200"/>
      <c r="AD228" s="200"/>
      <c r="AE228" s="200"/>
      <c r="AF228" s="200"/>
      <c r="AG228" s="200"/>
      <c r="AH228" s="200"/>
      <c r="AI228" s="200"/>
      <c r="AJ228" s="224"/>
      <c r="AK228" s="210"/>
      <c r="AL228" s="210"/>
    </row>
    <row r="229" spans="1:38" s="197" customFormat="1">
      <c r="A229" s="215" t="s">
        <v>349</v>
      </c>
      <c r="B229" s="215"/>
      <c r="C229" s="215"/>
      <c r="D229" s="525">
        <f>N224+V227+G221</f>
        <v>27.5</v>
      </c>
      <c r="E229" s="528"/>
      <c r="F229" s="215" t="s">
        <v>58</v>
      </c>
      <c r="G229" s="216"/>
      <c r="H229" s="216"/>
      <c r="I229" s="200"/>
      <c r="J229" s="216"/>
      <c r="K229" s="216"/>
      <c r="L229" s="215"/>
      <c r="M229" s="215"/>
      <c r="N229" s="204"/>
      <c r="O229" s="204"/>
      <c r="P229" s="214"/>
      <c r="Q229" s="214"/>
      <c r="R229" s="216"/>
      <c r="S229" s="216"/>
      <c r="T229" s="215"/>
      <c r="U229" s="215"/>
      <c r="V229" s="219"/>
      <c r="W229" s="219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24"/>
      <c r="AK229" s="210"/>
      <c r="AL229" s="210"/>
    </row>
    <row r="230" spans="1:38" s="197" customFormat="1">
      <c r="A230" s="215"/>
      <c r="B230" s="215"/>
      <c r="C230" s="215"/>
      <c r="D230" s="215"/>
      <c r="E230" s="215"/>
      <c r="F230" s="215"/>
      <c r="G230" s="216"/>
      <c r="H230" s="216"/>
      <c r="I230" s="200"/>
      <c r="J230" s="216"/>
      <c r="K230" s="216"/>
      <c r="L230" s="215"/>
      <c r="M230" s="215"/>
      <c r="N230" s="204"/>
      <c r="O230" s="204"/>
      <c r="P230" s="214"/>
      <c r="Q230" s="214"/>
      <c r="R230" s="216"/>
      <c r="S230" s="216"/>
      <c r="T230" s="215"/>
      <c r="U230" s="215"/>
      <c r="V230" s="219"/>
      <c r="W230" s="219"/>
      <c r="X230" s="200"/>
      <c r="Y230" s="200"/>
      <c r="Z230" s="200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24"/>
      <c r="AK230" s="210"/>
      <c r="AL230" s="210"/>
    </row>
    <row r="231" spans="1:38" s="197" customFormat="1" ht="16.5">
      <c r="A231" s="200" t="s">
        <v>179</v>
      </c>
      <c r="B231" s="527">
        <f>G217-D229</f>
        <v>68.89</v>
      </c>
      <c r="C231" s="527"/>
      <c r="D231" s="527"/>
      <c r="E231" s="200" t="s">
        <v>359</v>
      </c>
      <c r="F231" s="200"/>
      <c r="G231" s="200"/>
      <c r="H231" s="200"/>
      <c r="I231" s="200"/>
      <c r="J231" s="200"/>
      <c r="K231" s="200"/>
      <c r="L231" s="200"/>
      <c r="M231" s="200"/>
      <c r="N231" s="199"/>
      <c r="O231" s="199"/>
      <c r="P231" s="200"/>
      <c r="Q231" s="200"/>
      <c r="R231" s="200"/>
      <c r="S231" s="199"/>
      <c r="T231" s="200"/>
      <c r="U231" s="200"/>
      <c r="V231" s="200"/>
      <c r="W231" s="200"/>
      <c r="X231" s="200"/>
      <c r="Y231" s="200"/>
      <c r="Z231" s="200"/>
      <c r="AA231" s="200"/>
      <c r="AB231" s="200"/>
      <c r="AC231" s="200"/>
      <c r="AD231" s="200"/>
      <c r="AE231" s="200"/>
      <c r="AF231" s="200"/>
      <c r="AG231" s="200"/>
      <c r="AH231" s="200"/>
      <c r="AI231" s="200"/>
      <c r="AJ231" s="224"/>
      <c r="AK231" s="210"/>
      <c r="AL231" s="210"/>
    </row>
    <row r="232" spans="1:38" s="197" customFormat="1">
      <c r="A232" s="200"/>
      <c r="B232" s="200"/>
      <c r="C232" s="200"/>
      <c r="D232" s="200"/>
      <c r="E232" s="200"/>
      <c r="F232" s="200"/>
      <c r="G232" s="200"/>
      <c r="H232" s="200"/>
      <c r="I232" s="200"/>
      <c r="J232" s="200"/>
      <c r="K232" s="200"/>
      <c r="L232" s="200"/>
      <c r="M232" s="200"/>
      <c r="N232" s="199"/>
      <c r="O232" s="199"/>
      <c r="P232" s="200"/>
      <c r="Q232" s="200"/>
      <c r="R232" s="200"/>
      <c r="S232" s="199"/>
      <c r="T232" s="200"/>
      <c r="U232" s="200"/>
      <c r="V232" s="200"/>
      <c r="W232" s="200"/>
      <c r="X232" s="200"/>
      <c r="Y232" s="200"/>
      <c r="Z232" s="200"/>
      <c r="AA232" s="200"/>
      <c r="AB232" s="200"/>
      <c r="AC232" s="200"/>
      <c r="AD232" s="200"/>
      <c r="AE232" s="200"/>
      <c r="AF232" s="200"/>
      <c r="AG232" s="200"/>
      <c r="AH232" s="200"/>
      <c r="AI232" s="200"/>
      <c r="AJ232" s="224"/>
      <c r="AK232" s="210"/>
      <c r="AL232" s="210"/>
    </row>
    <row r="233" spans="1:38" s="197" customFormat="1" ht="15" customHeight="1">
      <c r="A233" s="529" t="s">
        <v>416</v>
      </c>
      <c r="B233" s="529"/>
      <c r="C233" s="529"/>
      <c r="D233" s="529"/>
      <c r="E233" s="529"/>
      <c r="F233" s="529"/>
      <c r="G233" s="529"/>
      <c r="H233" s="529"/>
      <c r="I233" s="529"/>
      <c r="J233" s="529"/>
      <c r="K233" s="529"/>
      <c r="L233" s="529"/>
      <c r="M233" s="529"/>
      <c r="N233" s="529"/>
      <c r="O233" s="529"/>
      <c r="P233" s="529"/>
      <c r="Q233" s="529"/>
      <c r="R233" s="529"/>
      <c r="S233" s="529"/>
      <c r="T233" s="529"/>
      <c r="U233" s="529"/>
      <c r="V233" s="529"/>
      <c r="W233" s="529"/>
      <c r="X233" s="529"/>
      <c r="Y233" s="529"/>
      <c r="Z233" s="529"/>
      <c r="AA233" s="529"/>
      <c r="AB233" s="529"/>
      <c r="AC233" s="529"/>
      <c r="AD233" s="529"/>
      <c r="AE233" s="529"/>
      <c r="AF233" s="529"/>
      <c r="AG233" s="529"/>
      <c r="AH233" s="529"/>
      <c r="AI233" s="529"/>
      <c r="AJ233" s="224"/>
      <c r="AK233" s="210"/>
      <c r="AL233" s="210"/>
    </row>
    <row r="234" spans="1:38" s="197" customFormat="1">
      <c r="A234" s="200"/>
      <c r="B234" s="200"/>
      <c r="C234" s="200"/>
      <c r="D234" s="200"/>
      <c r="E234" s="200"/>
      <c r="F234" s="200"/>
      <c r="G234" s="200"/>
      <c r="H234" s="200"/>
      <c r="I234" s="200"/>
      <c r="J234" s="200"/>
      <c r="K234" s="200"/>
      <c r="L234" s="200"/>
      <c r="M234" s="200"/>
      <c r="N234" s="199"/>
      <c r="O234" s="199"/>
      <c r="P234" s="200"/>
      <c r="Q234" s="200"/>
      <c r="R234" s="200"/>
      <c r="S234" s="199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24"/>
      <c r="AK234" s="210"/>
      <c r="AL234" s="210"/>
    </row>
    <row r="235" spans="1:38" s="197" customFormat="1">
      <c r="A235" s="530" t="s">
        <v>333</v>
      </c>
      <c r="B235" s="530"/>
      <c r="C235" s="530"/>
      <c r="D235" s="530"/>
      <c r="E235" s="530"/>
      <c r="F235" s="530"/>
      <c r="G235" s="530"/>
      <c r="H235" s="530"/>
      <c r="I235" s="530"/>
      <c r="J235" s="530"/>
      <c r="K235" s="530"/>
      <c r="L235" s="530"/>
      <c r="M235" s="530"/>
      <c r="N235" s="530"/>
      <c r="O235" s="530"/>
      <c r="P235" s="530"/>
      <c r="Q235" s="530"/>
      <c r="R235" s="530"/>
      <c r="S235" s="530"/>
      <c r="T235" s="530"/>
      <c r="U235" s="530"/>
      <c r="V235" s="530"/>
      <c r="W235" s="530"/>
      <c r="X235" s="530"/>
      <c r="Y235" s="530"/>
      <c r="Z235" s="530"/>
      <c r="AA235" s="530"/>
      <c r="AB235" s="530"/>
      <c r="AC235" s="530"/>
      <c r="AD235" s="530"/>
      <c r="AE235" s="530"/>
      <c r="AF235" s="530"/>
      <c r="AG235" s="530"/>
      <c r="AH235" s="530"/>
      <c r="AI235" s="530"/>
      <c r="AJ235" s="224"/>
      <c r="AK235" s="210"/>
      <c r="AL235" s="210"/>
    </row>
    <row r="236" spans="1:38" s="197" customFormat="1">
      <c r="A236" s="200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199"/>
      <c r="O236" s="199"/>
      <c r="P236" s="200"/>
      <c r="Q236" s="200"/>
      <c r="R236" s="200"/>
      <c r="S236" s="199"/>
      <c r="T236" s="200"/>
      <c r="U236" s="200"/>
      <c r="V236" s="200"/>
      <c r="W236" s="200"/>
      <c r="X236" s="200"/>
      <c r="Y236" s="200"/>
      <c r="Z236" s="200"/>
      <c r="AA236" s="200"/>
      <c r="AB236" s="200"/>
      <c r="AC236" s="200"/>
      <c r="AD236" s="200"/>
      <c r="AE236" s="200"/>
      <c r="AF236" s="200"/>
      <c r="AG236" s="200"/>
      <c r="AH236" s="200"/>
      <c r="AI236" s="200"/>
      <c r="AJ236" s="226"/>
      <c r="AK236" s="210"/>
      <c r="AL236" s="210"/>
    </row>
    <row r="237" spans="1:38" s="197" customFormat="1">
      <c r="A237" s="200" t="s">
        <v>179</v>
      </c>
      <c r="B237" s="525">
        <v>4</v>
      </c>
      <c r="C237" s="525"/>
      <c r="D237" s="200" t="s">
        <v>332</v>
      </c>
      <c r="E237" s="200"/>
      <c r="F237" s="200"/>
      <c r="G237" s="200"/>
      <c r="H237" s="200"/>
      <c r="I237" s="200"/>
      <c r="J237" s="200"/>
      <c r="K237" s="200"/>
      <c r="L237" s="200"/>
      <c r="M237" s="200"/>
      <c r="N237" s="199"/>
      <c r="O237" s="199"/>
      <c r="P237" s="200"/>
      <c r="Q237" s="200"/>
      <c r="R237" s="200"/>
      <c r="S237" s="199"/>
      <c r="T237" s="200"/>
      <c r="U237" s="200"/>
      <c r="V237" s="200"/>
      <c r="W237" s="200"/>
      <c r="X237" s="200"/>
      <c r="Y237" s="200"/>
      <c r="Z237" s="200"/>
      <c r="AA237" s="200"/>
      <c r="AB237" s="200"/>
      <c r="AC237" s="200"/>
      <c r="AD237" s="200"/>
      <c r="AE237" s="200"/>
      <c r="AF237" s="200"/>
      <c r="AG237" s="200"/>
      <c r="AH237" s="200"/>
      <c r="AI237" s="200"/>
      <c r="AJ237" s="224"/>
      <c r="AK237" s="210"/>
      <c r="AL237" s="210"/>
    </row>
    <row r="238" spans="1:38" s="197" customFormat="1">
      <c r="A238" s="200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199"/>
      <c r="O238" s="199"/>
      <c r="P238" s="200"/>
      <c r="Q238" s="200"/>
      <c r="R238" s="200"/>
      <c r="S238" s="199"/>
      <c r="T238" s="200"/>
      <c r="U238" s="200"/>
      <c r="V238" s="200"/>
      <c r="W238" s="200"/>
      <c r="X238" s="200"/>
      <c r="Y238" s="200"/>
      <c r="Z238" s="200"/>
      <c r="AA238" s="200"/>
      <c r="AB238" s="200"/>
      <c r="AC238" s="200"/>
      <c r="AD238" s="200"/>
      <c r="AE238" s="200"/>
      <c r="AF238" s="200"/>
      <c r="AG238" s="200"/>
      <c r="AH238" s="200"/>
      <c r="AI238" s="200"/>
      <c r="AJ238" s="224"/>
      <c r="AK238" s="210"/>
      <c r="AL238" s="210"/>
    </row>
    <row r="239" spans="1:38" s="197" customFormat="1" ht="15" customHeight="1">
      <c r="A239" s="529" t="s">
        <v>418</v>
      </c>
      <c r="B239" s="529"/>
      <c r="C239" s="529"/>
      <c r="D239" s="529"/>
      <c r="E239" s="529"/>
      <c r="F239" s="529"/>
      <c r="G239" s="529"/>
      <c r="H239" s="529"/>
      <c r="I239" s="529"/>
      <c r="J239" s="529"/>
      <c r="K239" s="529"/>
      <c r="L239" s="529"/>
      <c r="M239" s="529"/>
      <c r="N239" s="529"/>
      <c r="O239" s="529"/>
      <c r="P239" s="529"/>
      <c r="Q239" s="529"/>
      <c r="R239" s="529"/>
      <c r="S239" s="529"/>
      <c r="T239" s="529"/>
      <c r="U239" s="529"/>
      <c r="V239" s="529"/>
      <c r="W239" s="529"/>
      <c r="X239" s="529"/>
      <c r="Y239" s="529"/>
      <c r="Z239" s="529"/>
      <c r="AA239" s="529"/>
      <c r="AB239" s="529"/>
      <c r="AC239" s="529"/>
      <c r="AD239" s="529"/>
      <c r="AE239" s="529"/>
      <c r="AF239" s="529"/>
      <c r="AG239" s="529"/>
      <c r="AH239" s="529"/>
      <c r="AI239" s="529"/>
      <c r="AJ239" s="224"/>
      <c r="AK239" s="210"/>
      <c r="AL239" s="210"/>
    </row>
    <row r="240" spans="1:38" s="197" customFormat="1">
      <c r="A240" s="200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199"/>
      <c r="O240" s="199"/>
      <c r="P240" s="200"/>
      <c r="Q240" s="200"/>
      <c r="R240" s="200"/>
      <c r="S240" s="199"/>
      <c r="T240" s="200"/>
      <c r="U240" s="200"/>
      <c r="V240" s="200"/>
      <c r="W240" s="200"/>
      <c r="X240" s="200"/>
      <c r="Y240" s="200"/>
      <c r="Z240" s="200"/>
      <c r="AA240" s="200"/>
      <c r="AB240" s="200"/>
      <c r="AC240" s="200"/>
      <c r="AD240" s="200"/>
      <c r="AE240" s="200"/>
      <c r="AF240" s="200"/>
      <c r="AG240" s="200"/>
      <c r="AH240" s="200"/>
      <c r="AI240" s="200"/>
      <c r="AJ240" s="224"/>
      <c r="AK240" s="210"/>
      <c r="AL240" s="210"/>
    </row>
    <row r="241" spans="1:38" s="197" customFormat="1">
      <c r="A241" s="530" t="s">
        <v>334</v>
      </c>
      <c r="B241" s="530"/>
      <c r="C241" s="530"/>
      <c r="D241" s="530"/>
      <c r="E241" s="530"/>
      <c r="F241" s="530"/>
      <c r="G241" s="530"/>
      <c r="H241" s="530"/>
      <c r="I241" s="530"/>
      <c r="J241" s="530"/>
      <c r="K241" s="530"/>
      <c r="L241" s="530"/>
      <c r="M241" s="530"/>
      <c r="N241" s="530"/>
      <c r="O241" s="530"/>
      <c r="P241" s="530"/>
      <c r="Q241" s="530"/>
      <c r="R241" s="530"/>
      <c r="S241" s="530"/>
      <c r="T241" s="530"/>
      <c r="U241" s="530"/>
      <c r="V241" s="530"/>
      <c r="W241" s="530"/>
      <c r="X241" s="530"/>
      <c r="Y241" s="530"/>
      <c r="Z241" s="530"/>
      <c r="AA241" s="530"/>
      <c r="AB241" s="530"/>
      <c r="AC241" s="530"/>
      <c r="AD241" s="530"/>
      <c r="AE241" s="530"/>
      <c r="AF241" s="530"/>
      <c r="AG241" s="530"/>
      <c r="AH241" s="530"/>
      <c r="AI241" s="530"/>
      <c r="AJ241" s="224"/>
      <c r="AK241" s="210"/>
      <c r="AL241" s="210"/>
    </row>
    <row r="242" spans="1:38" s="197" customFormat="1">
      <c r="A242" s="200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199"/>
      <c r="O242" s="199"/>
      <c r="P242" s="200"/>
      <c r="Q242" s="200"/>
      <c r="R242" s="200"/>
      <c r="S242" s="199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26"/>
      <c r="AK242" s="210"/>
      <c r="AL242" s="210"/>
    </row>
    <row r="243" spans="1:38" s="197" customFormat="1">
      <c r="A243" s="200" t="s">
        <v>179</v>
      </c>
      <c r="B243" s="525">
        <f>B237</f>
        <v>4</v>
      </c>
      <c r="C243" s="525"/>
      <c r="D243" s="200" t="s">
        <v>332</v>
      </c>
      <c r="E243" s="200"/>
      <c r="F243" s="200"/>
      <c r="G243" s="200"/>
      <c r="H243" s="200"/>
      <c r="I243" s="200"/>
      <c r="J243" s="200"/>
      <c r="K243" s="200"/>
      <c r="L243" s="200"/>
      <c r="M243" s="200"/>
      <c r="N243" s="199"/>
      <c r="O243" s="199"/>
      <c r="P243" s="200"/>
      <c r="Q243" s="200"/>
      <c r="R243" s="200"/>
      <c r="S243" s="199"/>
      <c r="T243" s="200"/>
      <c r="U243" s="200"/>
      <c r="V243" s="200"/>
      <c r="W243" s="200"/>
      <c r="X243" s="200"/>
      <c r="Y243" s="200"/>
      <c r="Z243" s="200"/>
      <c r="AA243" s="200"/>
      <c r="AB243" s="200"/>
      <c r="AC243" s="200"/>
      <c r="AD243" s="200"/>
      <c r="AE243" s="200"/>
      <c r="AF243" s="200"/>
      <c r="AG243" s="200"/>
      <c r="AH243" s="200"/>
      <c r="AI243" s="200"/>
      <c r="AJ243" s="224"/>
      <c r="AK243" s="210"/>
      <c r="AL243" s="210"/>
    </row>
    <row r="244" spans="1:38" s="197" customFormat="1">
      <c r="A244" s="200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199"/>
      <c r="O244" s="199"/>
      <c r="P244" s="200"/>
      <c r="Q244" s="200"/>
      <c r="R244" s="200"/>
      <c r="S244" s="199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24"/>
      <c r="AK244" s="210"/>
      <c r="AL244" s="210"/>
    </row>
    <row r="245" spans="1:38" s="197" customFormat="1" ht="30" customHeight="1">
      <c r="A245" s="529" t="s">
        <v>419</v>
      </c>
      <c r="B245" s="529"/>
      <c r="C245" s="529"/>
      <c r="D245" s="529"/>
      <c r="E245" s="529"/>
      <c r="F245" s="529"/>
      <c r="G245" s="529"/>
      <c r="H245" s="529"/>
      <c r="I245" s="529"/>
      <c r="J245" s="529"/>
      <c r="K245" s="529"/>
      <c r="L245" s="529"/>
      <c r="M245" s="529"/>
      <c r="N245" s="529"/>
      <c r="O245" s="529"/>
      <c r="P245" s="529"/>
      <c r="Q245" s="529"/>
      <c r="R245" s="529"/>
      <c r="S245" s="529"/>
      <c r="T245" s="529"/>
      <c r="U245" s="529"/>
      <c r="V245" s="529"/>
      <c r="W245" s="529"/>
      <c r="X245" s="529"/>
      <c r="Y245" s="529"/>
      <c r="Z245" s="529"/>
      <c r="AA245" s="529"/>
      <c r="AB245" s="529"/>
      <c r="AC245" s="529"/>
      <c r="AD245" s="529"/>
      <c r="AE245" s="529"/>
      <c r="AF245" s="529"/>
      <c r="AG245" s="529"/>
      <c r="AH245" s="529"/>
      <c r="AI245" s="529"/>
      <c r="AJ245" s="224"/>
      <c r="AK245" s="210"/>
      <c r="AL245" s="210"/>
    </row>
    <row r="246" spans="1:38" s="197" customFormat="1">
      <c r="A246" s="200"/>
      <c r="B246" s="200"/>
      <c r="C246" s="200"/>
      <c r="D246" s="200"/>
      <c r="E246" s="200"/>
      <c r="F246" s="200"/>
      <c r="G246" s="200"/>
      <c r="H246" s="200"/>
      <c r="I246" s="200"/>
      <c r="J246" s="200"/>
      <c r="K246" s="200"/>
      <c r="L246" s="200"/>
      <c r="M246" s="200"/>
      <c r="N246" s="199"/>
      <c r="O246" s="199"/>
      <c r="P246" s="200"/>
      <c r="Q246" s="200"/>
      <c r="R246" s="200"/>
      <c r="S246" s="199"/>
      <c r="T246" s="200"/>
      <c r="U246" s="200"/>
      <c r="V246" s="200"/>
      <c r="W246" s="200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24"/>
      <c r="AK246" s="210"/>
      <c r="AL246" s="210"/>
    </row>
    <row r="247" spans="1:38" s="197" customFormat="1">
      <c r="A247" s="530" t="s">
        <v>331</v>
      </c>
      <c r="B247" s="530"/>
      <c r="C247" s="530"/>
      <c r="D247" s="530"/>
      <c r="E247" s="530"/>
      <c r="F247" s="530"/>
      <c r="G247" s="530"/>
      <c r="H247" s="530"/>
      <c r="I247" s="530"/>
      <c r="J247" s="530"/>
      <c r="K247" s="530"/>
      <c r="L247" s="530"/>
      <c r="M247" s="530"/>
      <c r="N247" s="530"/>
      <c r="O247" s="530"/>
      <c r="P247" s="530"/>
      <c r="Q247" s="530"/>
      <c r="R247" s="530"/>
      <c r="S247" s="530"/>
      <c r="T247" s="530"/>
      <c r="U247" s="530"/>
      <c r="V247" s="530"/>
      <c r="W247" s="530"/>
      <c r="X247" s="530"/>
      <c r="Y247" s="530"/>
      <c r="Z247" s="530"/>
      <c r="AA247" s="530"/>
      <c r="AB247" s="530"/>
      <c r="AC247" s="530"/>
      <c r="AD247" s="530"/>
      <c r="AE247" s="530"/>
      <c r="AF247" s="530"/>
      <c r="AG247" s="530"/>
      <c r="AH247" s="530"/>
      <c r="AI247" s="530"/>
      <c r="AJ247" s="224"/>
      <c r="AK247" s="210"/>
      <c r="AL247" s="210"/>
    </row>
    <row r="248" spans="1:38" s="197" customFormat="1">
      <c r="A248" s="200"/>
      <c r="B248" s="200"/>
      <c r="C248" s="200"/>
      <c r="D248" s="200"/>
      <c r="E248" s="200"/>
      <c r="F248" s="200"/>
      <c r="G248" s="200"/>
      <c r="H248" s="200"/>
      <c r="I248" s="200"/>
      <c r="J248" s="200"/>
      <c r="K248" s="200"/>
      <c r="L248" s="200"/>
      <c r="M248" s="200"/>
      <c r="N248" s="199"/>
      <c r="O248" s="199"/>
      <c r="P248" s="200"/>
      <c r="Q248" s="200"/>
      <c r="R248" s="200"/>
      <c r="S248" s="199"/>
      <c r="T248" s="200"/>
      <c r="U248" s="200"/>
      <c r="V248" s="200"/>
      <c r="W248" s="200"/>
      <c r="X248" s="200"/>
      <c r="Y248" s="200"/>
      <c r="Z248" s="200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24"/>
      <c r="AK248" s="210"/>
      <c r="AL248" s="210"/>
    </row>
    <row r="249" spans="1:38" s="197" customFormat="1">
      <c r="A249" s="200" t="s">
        <v>179</v>
      </c>
      <c r="B249" s="525">
        <v>2</v>
      </c>
      <c r="C249" s="525"/>
      <c r="D249" s="200" t="s">
        <v>332</v>
      </c>
      <c r="E249" s="200"/>
      <c r="F249" s="200"/>
      <c r="G249" s="200"/>
      <c r="H249" s="200"/>
      <c r="I249" s="200"/>
      <c r="J249" s="200"/>
      <c r="K249" s="200"/>
      <c r="L249" s="200"/>
      <c r="M249" s="200"/>
      <c r="N249" s="199"/>
      <c r="O249" s="199"/>
      <c r="P249" s="200"/>
      <c r="Q249" s="200"/>
      <c r="R249" s="200"/>
      <c r="S249" s="199"/>
      <c r="T249" s="200"/>
      <c r="U249" s="200"/>
      <c r="V249" s="200"/>
      <c r="W249" s="200"/>
      <c r="X249" s="200"/>
      <c r="Y249" s="200"/>
      <c r="Z249" s="200"/>
      <c r="AA249" s="200"/>
      <c r="AB249" s="200"/>
      <c r="AC249" s="200"/>
      <c r="AD249" s="200"/>
      <c r="AE249" s="200"/>
      <c r="AF249" s="200"/>
      <c r="AG249" s="200"/>
      <c r="AH249" s="200"/>
      <c r="AI249" s="200"/>
      <c r="AJ249" s="224"/>
      <c r="AK249" s="210"/>
      <c r="AL249" s="210"/>
    </row>
    <row r="250" spans="1:38" s="197" customFormat="1">
      <c r="A250" s="200"/>
      <c r="B250" s="200"/>
      <c r="C250" s="200"/>
      <c r="D250" s="200"/>
      <c r="E250" s="200"/>
      <c r="F250" s="200"/>
      <c r="G250" s="200"/>
      <c r="H250" s="200"/>
      <c r="I250" s="200"/>
      <c r="J250" s="200"/>
      <c r="K250" s="200"/>
      <c r="L250" s="200"/>
      <c r="M250" s="200"/>
      <c r="N250" s="199"/>
      <c r="O250" s="199"/>
      <c r="P250" s="200"/>
      <c r="Q250" s="200"/>
      <c r="R250" s="200"/>
      <c r="S250" s="199"/>
      <c r="T250" s="200"/>
      <c r="U250" s="200"/>
      <c r="V250" s="200"/>
      <c r="W250" s="200"/>
      <c r="X250" s="200"/>
      <c r="Y250" s="200"/>
      <c r="Z250" s="200"/>
      <c r="AA250" s="200"/>
      <c r="AB250" s="200"/>
      <c r="AC250" s="200"/>
      <c r="AD250" s="200"/>
      <c r="AE250" s="200"/>
      <c r="AF250" s="200"/>
      <c r="AG250" s="200"/>
      <c r="AH250" s="200"/>
      <c r="AI250" s="200"/>
      <c r="AJ250" s="224"/>
      <c r="AK250" s="210"/>
      <c r="AL250" s="210"/>
    </row>
    <row r="251" spans="1:38" s="197" customFormat="1" ht="15">
      <c r="A251" s="229" t="s">
        <v>367</v>
      </c>
      <c r="B251" s="230"/>
      <c r="C251" s="230"/>
      <c r="D251" s="230"/>
      <c r="E251" s="230"/>
      <c r="F251" s="230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Q251" s="230"/>
      <c r="R251" s="230"/>
      <c r="S251" s="230"/>
      <c r="T251" s="230"/>
      <c r="U251" s="230"/>
      <c r="V251" s="230"/>
      <c r="W251" s="230"/>
      <c r="X251" s="230"/>
      <c r="Y251" s="230"/>
      <c r="Z251" s="230"/>
      <c r="AA251" s="230"/>
      <c r="AB251" s="230"/>
      <c r="AC251" s="230"/>
      <c r="AD251" s="230"/>
      <c r="AE251" s="230"/>
      <c r="AF251" s="230"/>
      <c r="AG251" s="230"/>
      <c r="AH251" s="230"/>
      <c r="AI251" s="231"/>
      <c r="AJ251" s="224"/>
      <c r="AK251" s="210"/>
      <c r="AL251" s="210"/>
    </row>
    <row r="253" spans="1:38" ht="15">
      <c r="A253" s="542" t="s">
        <v>368</v>
      </c>
      <c r="B253" s="542"/>
      <c r="C253" s="542"/>
      <c r="D253" s="542"/>
      <c r="E253" s="542"/>
      <c r="F253" s="542"/>
      <c r="G253" s="542"/>
      <c r="H253" s="542"/>
      <c r="I253" s="542"/>
      <c r="J253" s="542"/>
      <c r="K253" s="542"/>
      <c r="L253" s="542"/>
      <c r="M253" s="542"/>
      <c r="N253" s="542"/>
      <c r="O253" s="542"/>
      <c r="P253" s="542"/>
      <c r="Q253" s="542"/>
      <c r="R253" s="542"/>
      <c r="S253" s="542"/>
      <c r="T253" s="542"/>
      <c r="U253" s="542"/>
      <c r="V253" s="542"/>
      <c r="W253" s="542"/>
      <c r="X253" s="542"/>
      <c r="Y253" s="542"/>
      <c r="Z253" s="542"/>
      <c r="AA253" s="542"/>
      <c r="AB253" s="542"/>
      <c r="AC253" s="542"/>
      <c r="AD253" s="542"/>
      <c r="AE253" s="542"/>
      <c r="AF253" s="542"/>
      <c r="AG253" s="542"/>
      <c r="AH253" s="542"/>
      <c r="AI253" s="542"/>
    </row>
    <row r="255" spans="1:38">
      <c r="A255" s="530" t="s">
        <v>229</v>
      </c>
      <c r="B255" s="530"/>
      <c r="C255" s="530"/>
      <c r="D255" s="530"/>
      <c r="E255" s="530"/>
      <c r="F255" s="530"/>
      <c r="G255" s="530"/>
      <c r="H255" s="530"/>
      <c r="I255" s="530"/>
      <c r="J255" s="530"/>
      <c r="K255" s="530"/>
      <c r="L255" s="530"/>
      <c r="M255" s="530"/>
      <c r="N255" s="530"/>
      <c r="O255" s="530"/>
      <c r="P255" s="530"/>
      <c r="Q255" s="530"/>
      <c r="R255" s="530"/>
      <c r="S255" s="530"/>
      <c r="T255" s="530"/>
      <c r="U255" s="530"/>
      <c r="V255" s="530"/>
      <c r="W255" s="530"/>
      <c r="X255" s="530"/>
      <c r="Y255" s="530"/>
      <c r="Z255" s="530"/>
      <c r="AA255" s="530"/>
      <c r="AB255" s="530"/>
      <c r="AC255" s="530"/>
      <c r="AD255" s="530"/>
      <c r="AE255" s="530"/>
      <c r="AF255" s="530"/>
      <c r="AG255" s="530"/>
      <c r="AH255" s="530"/>
      <c r="AI255" s="530"/>
    </row>
    <row r="257" spans="1:5">
      <c r="A257" s="200" t="s">
        <v>230</v>
      </c>
      <c r="B257" s="543">
        <f>B79</f>
        <v>1715.13</v>
      </c>
      <c r="C257" s="530"/>
      <c r="D257" s="530"/>
      <c r="E257" s="200" t="s">
        <v>85</v>
      </c>
    </row>
  </sheetData>
  <mergeCells count="353">
    <mergeCell ref="B249:C249"/>
    <mergeCell ref="A239:AI239"/>
    <mergeCell ref="A241:AI241"/>
    <mergeCell ref="E17:F17"/>
    <mergeCell ref="E69:F69"/>
    <mergeCell ref="E77:F77"/>
    <mergeCell ref="P227:Q227"/>
    <mergeCell ref="R227:S227"/>
    <mergeCell ref="T227:U227"/>
    <mergeCell ref="V227:W227"/>
    <mergeCell ref="D229:E229"/>
    <mergeCell ref="B231:D231"/>
    <mergeCell ref="B243:C243"/>
    <mergeCell ref="A224:F224"/>
    <mergeCell ref="G224:H224"/>
    <mergeCell ref="J224:K224"/>
    <mergeCell ref="L224:M224"/>
    <mergeCell ref="N224:O224"/>
    <mergeCell ref="AA224:AB224"/>
    <mergeCell ref="A226:F226"/>
    <mergeCell ref="G226:H226"/>
    <mergeCell ref="J226:K226"/>
    <mergeCell ref="N226:O226"/>
    <mergeCell ref="R226:S226"/>
    <mergeCell ref="A217:F217"/>
    <mergeCell ref="G217:H217"/>
    <mergeCell ref="A221:F221"/>
    <mergeCell ref="G221:H221"/>
    <mergeCell ref="AE222:AF222"/>
    <mergeCell ref="A223:F223"/>
    <mergeCell ref="G223:H223"/>
    <mergeCell ref="J223:K223"/>
    <mergeCell ref="A233:AI233"/>
    <mergeCell ref="A227:F227"/>
    <mergeCell ref="G227:H227"/>
    <mergeCell ref="C194:D194"/>
    <mergeCell ref="A196:AI196"/>
    <mergeCell ref="A198:AI198"/>
    <mergeCell ref="N201:O201"/>
    <mergeCell ref="P201:Q201"/>
    <mergeCell ref="R201:S201"/>
    <mergeCell ref="T201:U201"/>
    <mergeCell ref="V201:W201"/>
    <mergeCell ref="C203:D203"/>
    <mergeCell ref="A191:F191"/>
    <mergeCell ref="G191:H191"/>
    <mergeCell ref="J191:K191"/>
    <mergeCell ref="L191:M191"/>
    <mergeCell ref="N191:O191"/>
    <mergeCell ref="P191:Q191"/>
    <mergeCell ref="R191:S191"/>
    <mergeCell ref="G192:H192"/>
    <mergeCell ref="J192:K192"/>
    <mergeCell ref="L192:M192"/>
    <mergeCell ref="N192:O192"/>
    <mergeCell ref="P192:Q192"/>
    <mergeCell ref="R192:S192"/>
    <mergeCell ref="L183:M183"/>
    <mergeCell ref="N183:O183"/>
    <mergeCell ref="P183:Q183"/>
    <mergeCell ref="R183:S183"/>
    <mergeCell ref="T183:U183"/>
    <mergeCell ref="V183:W183"/>
    <mergeCell ref="C186:D186"/>
    <mergeCell ref="A188:AI188"/>
    <mergeCell ref="G190:H190"/>
    <mergeCell ref="J190:K190"/>
    <mergeCell ref="N190:O190"/>
    <mergeCell ref="R190:S190"/>
    <mergeCell ref="A108:D108"/>
    <mergeCell ref="F108:G108"/>
    <mergeCell ref="H108:I108"/>
    <mergeCell ref="J108:K108"/>
    <mergeCell ref="L108:M108"/>
    <mergeCell ref="N108:O108"/>
    <mergeCell ref="A129:D129"/>
    <mergeCell ref="F129:G129"/>
    <mergeCell ref="H129:I129"/>
    <mergeCell ref="J129:K129"/>
    <mergeCell ref="L129:M129"/>
    <mergeCell ref="N129:O129"/>
    <mergeCell ref="C109:D109"/>
    <mergeCell ref="E109:F109"/>
    <mergeCell ref="G109:H109"/>
    <mergeCell ref="I109:J109"/>
    <mergeCell ref="K109:L109"/>
    <mergeCell ref="L113:M113"/>
    <mergeCell ref="F113:G113"/>
    <mergeCell ref="H113:I113"/>
    <mergeCell ref="H112:I112"/>
    <mergeCell ref="J112:K112"/>
    <mergeCell ref="F114:G114"/>
    <mergeCell ref="L126:M126"/>
    <mergeCell ref="J106:K106"/>
    <mergeCell ref="L106:M106"/>
    <mergeCell ref="N106:O106"/>
    <mergeCell ref="A107:D107"/>
    <mergeCell ref="F107:G107"/>
    <mergeCell ref="H107:I107"/>
    <mergeCell ref="J107:K107"/>
    <mergeCell ref="L107:M107"/>
    <mergeCell ref="N107:O107"/>
    <mergeCell ref="A12:AI12"/>
    <mergeCell ref="A14:AI14"/>
    <mergeCell ref="A15:AI15"/>
    <mergeCell ref="B16:C16"/>
    <mergeCell ref="G16:H16"/>
    <mergeCell ref="C19:E19"/>
    <mergeCell ref="A87:D87"/>
    <mergeCell ref="F87:G87"/>
    <mergeCell ref="A86:D86"/>
    <mergeCell ref="F86:G86"/>
    <mergeCell ref="B76:C76"/>
    <mergeCell ref="G76:H76"/>
    <mergeCell ref="K76:L76"/>
    <mergeCell ref="O76:P76"/>
    <mergeCell ref="F78:G78"/>
    <mergeCell ref="A41:AI41"/>
    <mergeCell ref="A43:AI43"/>
    <mergeCell ref="A57:AI57"/>
    <mergeCell ref="A64:AI64"/>
    <mergeCell ref="A66:AI66"/>
    <mergeCell ref="A67:AI67"/>
    <mergeCell ref="B68:C68"/>
    <mergeCell ref="G68:H68"/>
    <mergeCell ref="B70:D70"/>
    <mergeCell ref="A112:D112"/>
    <mergeCell ref="F112:G112"/>
    <mergeCell ref="J184:K184"/>
    <mergeCell ref="N184:O184"/>
    <mergeCell ref="A168:AI168"/>
    <mergeCell ref="L112:M112"/>
    <mergeCell ref="N112:O112"/>
    <mergeCell ref="J113:K113"/>
    <mergeCell ref="L137:M137"/>
    <mergeCell ref="E140:F140"/>
    <mergeCell ref="H140:I140"/>
    <mergeCell ref="J140:K140"/>
    <mergeCell ref="L140:M140"/>
    <mergeCell ref="F137:G137"/>
    <mergeCell ref="I137:J137"/>
    <mergeCell ref="A136:D136"/>
    <mergeCell ref="F136:G136"/>
    <mergeCell ref="H136:I136"/>
    <mergeCell ref="L132:M132"/>
    <mergeCell ref="N132:O132"/>
    <mergeCell ref="A130:D130"/>
    <mergeCell ref="F130:G130"/>
    <mergeCell ref="H130:I130"/>
    <mergeCell ref="J130:K130"/>
    <mergeCell ref="N113:O113"/>
    <mergeCell ref="Q113:R113"/>
    <mergeCell ref="A132:D132"/>
    <mergeCell ref="F132:G132"/>
    <mergeCell ref="H132:I132"/>
    <mergeCell ref="J132:K132"/>
    <mergeCell ref="L130:M130"/>
    <mergeCell ref="N130:O130"/>
    <mergeCell ref="A131:D131"/>
    <mergeCell ref="F131:G131"/>
    <mergeCell ref="H131:I131"/>
    <mergeCell ref="J131:K131"/>
    <mergeCell ref="L131:M131"/>
    <mergeCell ref="N131:O131"/>
    <mergeCell ref="N126:O126"/>
    <mergeCell ref="A128:D128"/>
    <mergeCell ref="L127:M127"/>
    <mergeCell ref="N127:O127"/>
    <mergeCell ref="F128:G128"/>
    <mergeCell ref="H128:I128"/>
    <mergeCell ref="J128:K128"/>
    <mergeCell ref="L128:M128"/>
    <mergeCell ref="N128:O128"/>
    <mergeCell ref="F126:G126"/>
    <mergeCell ref="A245:AI245"/>
    <mergeCell ref="A247:AI247"/>
    <mergeCell ref="J227:K227"/>
    <mergeCell ref="L227:M227"/>
    <mergeCell ref="N227:O227"/>
    <mergeCell ref="G200:H200"/>
    <mergeCell ref="J200:K200"/>
    <mergeCell ref="N200:O200"/>
    <mergeCell ref="R200:S200"/>
    <mergeCell ref="V200:W200"/>
    <mergeCell ref="A201:F201"/>
    <mergeCell ref="G201:H201"/>
    <mergeCell ref="J201:K201"/>
    <mergeCell ref="L201:M201"/>
    <mergeCell ref="A205:AI205"/>
    <mergeCell ref="A207:AI207"/>
    <mergeCell ref="A211:B211"/>
    <mergeCell ref="C211:D211"/>
    <mergeCell ref="A209:F209"/>
    <mergeCell ref="G209:H209"/>
    <mergeCell ref="A213:AI213"/>
    <mergeCell ref="A215:AI215"/>
    <mergeCell ref="A235:AI235"/>
    <mergeCell ref="B237:C237"/>
    <mergeCell ref="A170:AI170"/>
    <mergeCell ref="A172:AI172"/>
    <mergeCell ref="A174:F174"/>
    <mergeCell ref="G174:H174"/>
    <mergeCell ref="J174:K174"/>
    <mergeCell ref="L174:M174"/>
    <mergeCell ref="A180:AI180"/>
    <mergeCell ref="G184:H184"/>
    <mergeCell ref="R184:S184"/>
    <mergeCell ref="V184:W184"/>
    <mergeCell ref="L184:M184"/>
    <mergeCell ref="P184:Q184"/>
    <mergeCell ref="T184:U184"/>
    <mergeCell ref="N174:O174"/>
    <mergeCell ref="C176:D176"/>
    <mergeCell ref="A178:AI178"/>
    <mergeCell ref="G182:H182"/>
    <mergeCell ref="J182:K182"/>
    <mergeCell ref="N182:O182"/>
    <mergeCell ref="R182:S182"/>
    <mergeCell ref="V182:W182"/>
    <mergeCell ref="A183:F183"/>
    <mergeCell ref="G183:H183"/>
    <mergeCell ref="J183:K183"/>
    <mergeCell ref="F103:G103"/>
    <mergeCell ref="A88:D88"/>
    <mergeCell ref="F88:G88"/>
    <mergeCell ref="A89:D89"/>
    <mergeCell ref="F89:G89"/>
    <mergeCell ref="A105:D105"/>
    <mergeCell ref="F105:G105"/>
    <mergeCell ref="H105:I105"/>
    <mergeCell ref="J105:K105"/>
    <mergeCell ref="H104:I104"/>
    <mergeCell ref="B98:D98"/>
    <mergeCell ref="L105:M105"/>
    <mergeCell ref="N105:O105"/>
    <mergeCell ref="A106:D106"/>
    <mergeCell ref="F106:G106"/>
    <mergeCell ref="H106:I106"/>
    <mergeCell ref="J114:K114"/>
    <mergeCell ref="L114:M114"/>
    <mergeCell ref="AJ95:AK95"/>
    <mergeCell ref="B97:D97"/>
    <mergeCell ref="G97:H97"/>
    <mergeCell ref="A100:AI100"/>
    <mergeCell ref="A102:D102"/>
    <mergeCell ref="F102:G102"/>
    <mergeCell ref="H102:I102"/>
    <mergeCell ref="J102:K102"/>
    <mergeCell ref="L102:M102"/>
    <mergeCell ref="N102:O102"/>
    <mergeCell ref="H103:I103"/>
    <mergeCell ref="J103:K103"/>
    <mergeCell ref="L103:M103"/>
    <mergeCell ref="N103:O103"/>
    <mergeCell ref="J104:K104"/>
    <mergeCell ref="L104:M104"/>
    <mergeCell ref="N104:O104"/>
    <mergeCell ref="A255:AI255"/>
    <mergeCell ref="B257:D257"/>
    <mergeCell ref="A253:AI253"/>
    <mergeCell ref="N114:O114"/>
    <mergeCell ref="B120:C120"/>
    <mergeCell ref="D120:E120"/>
    <mergeCell ref="A116:AI116"/>
    <mergeCell ref="A118:AI118"/>
    <mergeCell ref="H114:I114"/>
    <mergeCell ref="D160:E160"/>
    <mergeCell ref="B163:C163"/>
    <mergeCell ref="G163:H163"/>
    <mergeCell ref="J136:K136"/>
    <mergeCell ref="L136:M136"/>
    <mergeCell ref="N136:O136"/>
    <mergeCell ref="F135:G135"/>
    <mergeCell ref="H135:I135"/>
    <mergeCell ref="J135:K135"/>
    <mergeCell ref="L135:M135"/>
    <mergeCell ref="N135:O135"/>
    <mergeCell ref="A122:AI122"/>
    <mergeCell ref="A126:D126"/>
    <mergeCell ref="J126:K126"/>
    <mergeCell ref="A135:D135"/>
    <mergeCell ref="A2:AI2"/>
    <mergeCell ref="A4:AI4"/>
    <mergeCell ref="A6:AI6"/>
    <mergeCell ref="A8:AI8"/>
    <mergeCell ref="B10:C10"/>
    <mergeCell ref="A84:D84"/>
    <mergeCell ref="F84:G84"/>
    <mergeCell ref="A85:D85"/>
    <mergeCell ref="F85:G85"/>
    <mergeCell ref="A55:AI55"/>
    <mergeCell ref="B59:C59"/>
    <mergeCell ref="B79:D79"/>
    <mergeCell ref="A81:AI81"/>
    <mergeCell ref="A83:D83"/>
    <mergeCell ref="F83:G83"/>
    <mergeCell ref="B45:C45"/>
    <mergeCell ref="D45:E45"/>
    <mergeCell ref="A48:AI48"/>
    <mergeCell ref="A50:AI50"/>
    <mergeCell ref="B52:C52"/>
    <mergeCell ref="D52:E52"/>
    <mergeCell ref="A36:AI36"/>
    <mergeCell ref="B38:C38"/>
    <mergeCell ref="D38:E38"/>
    <mergeCell ref="F10:G10"/>
    <mergeCell ref="J10:K10"/>
    <mergeCell ref="C166:D166"/>
    <mergeCell ref="A27:AI27"/>
    <mergeCell ref="A29:AI29"/>
    <mergeCell ref="B31:C31"/>
    <mergeCell ref="D31:E31"/>
    <mergeCell ref="A34:AI34"/>
    <mergeCell ref="A72:AI72"/>
    <mergeCell ref="A74:AI74"/>
    <mergeCell ref="A95:AI95"/>
    <mergeCell ref="A103:D103"/>
    <mergeCell ref="A21:AI21"/>
    <mergeCell ref="A23:AI23"/>
    <mergeCell ref="B25:C25"/>
    <mergeCell ref="F91:G91"/>
    <mergeCell ref="A93:AI93"/>
    <mergeCell ref="A104:D104"/>
    <mergeCell ref="F104:G104"/>
    <mergeCell ref="B164:C164"/>
    <mergeCell ref="D164:E164"/>
    <mergeCell ref="B160:C160"/>
    <mergeCell ref="D59:E59"/>
    <mergeCell ref="A62:AI62"/>
    <mergeCell ref="AJ163:AK163"/>
    <mergeCell ref="L141:M141"/>
    <mergeCell ref="N141:O141"/>
    <mergeCell ref="C143:D143"/>
    <mergeCell ref="A147:AI147"/>
    <mergeCell ref="C149:D149"/>
    <mergeCell ref="A153:AI153"/>
    <mergeCell ref="G149:H149"/>
    <mergeCell ref="J149:K149"/>
    <mergeCell ref="B150:D150"/>
    <mergeCell ref="A145:AI145"/>
    <mergeCell ref="A141:D141"/>
    <mergeCell ref="F141:G141"/>
    <mergeCell ref="H141:I141"/>
    <mergeCell ref="J141:K141"/>
    <mergeCell ref="H126:I126"/>
    <mergeCell ref="A127:D127"/>
    <mergeCell ref="F127:G127"/>
    <mergeCell ref="H127:I127"/>
    <mergeCell ref="J127:K127"/>
    <mergeCell ref="AJ157:AK157"/>
    <mergeCell ref="B159:C159"/>
    <mergeCell ref="G159:H159"/>
    <mergeCell ref="A155:AI15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1" orientation="portrait" horizontalDpi="4294967293" verticalDpi="4294967293" r:id="rId1"/>
  <rowBreaks count="2" manualBreakCount="2">
    <brk id="114" max="34" man="1"/>
    <brk id="195" max="3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B1:AG43"/>
  <sheetViews>
    <sheetView view="pageBreakPreview" topLeftCell="C34" zoomScaleSheetLayoutView="100" workbookViewId="0">
      <selection activeCell="I44" sqref="I44"/>
    </sheetView>
  </sheetViews>
  <sheetFormatPr defaultColWidth="9.140625" defaultRowHeight="14.25"/>
  <cols>
    <col min="1" max="1" width="2.28515625" style="157" customWidth="1"/>
    <col min="2" max="2" width="13.42578125" style="234" customWidth="1"/>
    <col min="3" max="3" width="12.85546875" style="234" customWidth="1"/>
    <col min="4" max="4" width="9.140625" style="234"/>
    <col min="5" max="5" width="60.7109375" style="157" customWidth="1"/>
    <col min="6" max="6" width="9.140625" style="234"/>
    <col min="7" max="8" width="9.140625" style="235"/>
    <col min="9" max="9" width="10.28515625" style="235" customWidth="1"/>
    <col min="10" max="10" width="9.140625" style="157"/>
    <col min="11" max="11" width="9.140625" style="160"/>
    <col min="12" max="16384" width="9.140625" style="157"/>
  </cols>
  <sheetData>
    <row r="1" spans="2:11" s="153" customFormat="1" ht="24" customHeight="1">
      <c r="B1" s="514"/>
      <c r="C1" s="514"/>
      <c r="D1" s="514"/>
      <c r="E1" s="514"/>
      <c r="F1" s="514"/>
      <c r="G1" s="514"/>
      <c r="H1" s="514"/>
      <c r="I1" s="514"/>
      <c r="K1" s="232"/>
    </row>
    <row r="2" spans="2:11" s="153" customFormat="1">
      <c r="B2" s="514"/>
      <c r="C2" s="514"/>
      <c r="D2" s="514"/>
      <c r="E2" s="514"/>
      <c r="F2" s="514"/>
      <c r="G2" s="514"/>
      <c r="H2" s="514"/>
      <c r="I2" s="514"/>
      <c r="K2" s="232"/>
    </row>
    <row r="3" spans="2:11" s="153" customFormat="1">
      <c r="B3" s="514"/>
      <c r="C3" s="514"/>
      <c r="D3" s="514"/>
      <c r="E3" s="514"/>
      <c r="F3" s="514"/>
      <c r="G3" s="514"/>
      <c r="H3" s="514"/>
      <c r="I3" s="514"/>
      <c r="K3" s="232"/>
    </row>
    <row r="4" spans="2:11" s="153" customFormat="1">
      <c r="B4" s="514"/>
      <c r="C4" s="514"/>
      <c r="D4" s="514"/>
      <c r="E4" s="514"/>
      <c r="F4" s="514"/>
      <c r="G4" s="514"/>
      <c r="H4" s="514"/>
      <c r="I4" s="514"/>
      <c r="K4" s="232"/>
    </row>
    <row r="5" spans="2:11" s="153" customFormat="1" ht="18" customHeight="1">
      <c r="B5" s="517" t="s">
        <v>374</v>
      </c>
      <c r="C5" s="517"/>
      <c r="D5" s="517"/>
      <c r="E5" s="517"/>
      <c r="F5" s="517"/>
      <c r="G5" s="517"/>
      <c r="H5" s="517"/>
      <c r="I5" s="517"/>
    </row>
    <row r="6" spans="2:11" s="153" customFormat="1">
      <c r="B6" s="514"/>
      <c r="C6" s="514"/>
      <c r="D6" s="514"/>
      <c r="E6" s="514"/>
      <c r="F6" s="514"/>
      <c r="G6" s="514"/>
      <c r="H6" s="514"/>
      <c r="I6" s="514"/>
      <c r="K6" s="232"/>
    </row>
    <row r="7" spans="2:11" s="153" customFormat="1" ht="18">
      <c r="B7" s="517" t="s">
        <v>120</v>
      </c>
      <c r="C7" s="517"/>
      <c r="D7" s="517"/>
      <c r="E7" s="517"/>
      <c r="F7" s="517"/>
      <c r="G7" s="517"/>
      <c r="H7" s="517"/>
      <c r="I7" s="517"/>
      <c r="K7" s="232"/>
    </row>
    <row r="8" spans="2:11" ht="18">
      <c r="B8" s="233"/>
      <c r="C8" s="233"/>
      <c r="D8" s="233"/>
      <c r="E8" s="233"/>
      <c r="F8" s="233"/>
      <c r="G8" s="233"/>
      <c r="H8" s="233"/>
      <c r="I8" s="233"/>
    </row>
    <row r="9" spans="2:11">
      <c r="B9" s="516" t="s">
        <v>250</v>
      </c>
      <c r="C9" s="516"/>
      <c r="D9" s="516"/>
      <c r="E9" s="516"/>
      <c r="F9" s="516"/>
      <c r="G9" s="516"/>
      <c r="H9" s="516"/>
      <c r="I9" s="516"/>
    </row>
    <row r="10" spans="2:11">
      <c r="B10" s="516" t="s">
        <v>251</v>
      </c>
      <c r="C10" s="516"/>
      <c r="D10" s="516"/>
      <c r="E10" s="516"/>
      <c r="F10" s="516"/>
      <c r="G10" s="516"/>
      <c r="H10" s="516"/>
      <c r="I10" s="516"/>
    </row>
    <row r="11" spans="2:11" ht="18" customHeight="1">
      <c r="B11" s="158" t="s">
        <v>121</v>
      </c>
      <c r="C11" s="159" t="str">
        <f>'RUA 1'!C11</f>
        <v>1054116-72</v>
      </c>
      <c r="D11" s="194"/>
      <c r="E11" s="194"/>
      <c r="F11" s="194"/>
      <c r="G11" s="194"/>
      <c r="H11" s="194"/>
      <c r="I11" s="194"/>
    </row>
    <row r="12" spans="2:11" ht="15">
      <c r="B12" s="158" t="s">
        <v>122</v>
      </c>
      <c r="C12" s="515" t="s">
        <v>375</v>
      </c>
      <c r="D12" s="515"/>
      <c r="E12" s="515"/>
      <c r="F12" s="515"/>
      <c r="G12" s="515"/>
      <c r="H12" s="515"/>
      <c r="I12" s="515"/>
    </row>
    <row r="13" spans="2:11" ht="15">
      <c r="B13" s="158" t="s">
        <v>123</v>
      </c>
      <c r="C13" s="515" t="str">
        <f>'MEMORIAL 4'!A2</f>
        <v>Rua Sebastião Viana Fernandes</v>
      </c>
      <c r="D13" s="515"/>
      <c r="E13" s="515"/>
      <c r="F13" s="515"/>
      <c r="G13" s="515"/>
      <c r="H13" s="515"/>
      <c r="I13" s="515"/>
    </row>
    <row r="14" spans="2:11" ht="15">
      <c r="H14" s="235" t="s">
        <v>124</v>
      </c>
      <c r="I14" s="236">
        <v>0.87929999999999997</v>
      </c>
    </row>
    <row r="15" spans="2:11" ht="30" customHeight="1">
      <c r="B15" s="521" t="s">
        <v>125</v>
      </c>
      <c r="C15" s="521"/>
      <c r="D15" s="522" t="s">
        <v>376</v>
      </c>
      <c r="E15" s="522"/>
      <c r="F15" s="522"/>
      <c r="G15" s="522"/>
      <c r="H15" s="235" t="s">
        <v>126</v>
      </c>
      <c r="I15" s="237">
        <f>BDI!B14</f>
        <v>0.2203</v>
      </c>
    </row>
    <row r="17" spans="2:11" ht="15">
      <c r="B17" s="518" t="s">
        <v>127</v>
      </c>
      <c r="C17" s="518" t="s">
        <v>52</v>
      </c>
      <c r="D17" s="518" t="s">
        <v>46</v>
      </c>
      <c r="E17" s="518" t="s">
        <v>128</v>
      </c>
      <c r="F17" s="518" t="s">
        <v>129</v>
      </c>
      <c r="G17" s="519" t="s">
        <v>130</v>
      </c>
      <c r="H17" s="520" t="s">
        <v>131</v>
      </c>
      <c r="I17" s="520"/>
    </row>
    <row r="18" spans="2:11" ht="15">
      <c r="B18" s="518"/>
      <c r="C18" s="518"/>
      <c r="D18" s="518"/>
      <c r="E18" s="518"/>
      <c r="F18" s="518"/>
      <c r="G18" s="519"/>
      <c r="H18" s="239" t="s">
        <v>132</v>
      </c>
      <c r="I18" s="239" t="s">
        <v>133</v>
      </c>
    </row>
    <row r="20" spans="2:11" ht="15">
      <c r="B20" s="238" t="s">
        <v>127</v>
      </c>
      <c r="C20" s="238" t="s">
        <v>52</v>
      </c>
      <c r="D20" s="238" t="s">
        <v>134</v>
      </c>
      <c r="E20" s="523" t="s">
        <v>135</v>
      </c>
      <c r="F20" s="523"/>
      <c r="G20" s="523"/>
      <c r="H20" s="523"/>
      <c r="I20" s="365">
        <f>SUM(I21:I23)</f>
        <v>388.2</v>
      </c>
    </row>
    <row r="21" spans="2:11">
      <c r="B21" s="176" t="s">
        <v>136</v>
      </c>
      <c r="C21" s="176" t="s">
        <v>137</v>
      </c>
      <c r="D21" s="176" t="s">
        <v>138</v>
      </c>
      <c r="E21" s="360" t="s">
        <v>139</v>
      </c>
      <c r="F21" s="176" t="s">
        <v>85</v>
      </c>
      <c r="G21" s="361">
        <f>'MEMORIAL 4'!J10</f>
        <v>0</v>
      </c>
      <c r="H21" s="361">
        <f>ROUND(K21+(K21*$I$15),2)</f>
        <v>381.08</v>
      </c>
      <c r="I21" s="361">
        <f>ROUND(G21*H21,2)</f>
        <v>0</v>
      </c>
      <c r="K21" s="160">
        <f>'RUA 1'!K21</f>
        <v>312.27999999999997</v>
      </c>
    </row>
    <row r="22" spans="2:11" ht="28.5">
      <c r="B22" s="176" t="s">
        <v>136</v>
      </c>
      <c r="C22" s="176">
        <v>78472</v>
      </c>
      <c r="D22" s="176" t="s">
        <v>141</v>
      </c>
      <c r="E22" s="360" t="s">
        <v>381</v>
      </c>
      <c r="F22" s="176" t="s">
        <v>85</v>
      </c>
      <c r="G22" s="361">
        <f>'MEMORIAL 4'!C19</f>
        <v>517.92999999999995</v>
      </c>
      <c r="H22" s="361">
        <f>ROUND(K22+(K22*$I$15),2)</f>
        <v>0.35</v>
      </c>
      <c r="I22" s="361">
        <f>ROUND(G22*H22,2)</f>
        <v>181.28</v>
      </c>
      <c r="K22" s="160">
        <v>0.28999999999999998</v>
      </c>
    </row>
    <row r="23" spans="2:11" ht="28.5">
      <c r="B23" s="176" t="s">
        <v>136</v>
      </c>
      <c r="C23" s="176" t="s">
        <v>140</v>
      </c>
      <c r="D23" s="176" t="s">
        <v>410</v>
      </c>
      <c r="E23" s="360" t="s">
        <v>142</v>
      </c>
      <c r="F23" s="176" t="s">
        <v>102</v>
      </c>
      <c r="G23" s="361">
        <f>'MEMORIAL 4'!B25</f>
        <v>2</v>
      </c>
      <c r="H23" s="361">
        <f>ROUND(K23+(K23*$I$15),2)</f>
        <v>103.46</v>
      </c>
      <c r="I23" s="361">
        <f>ROUND(G23*H23,2)</f>
        <v>206.92</v>
      </c>
      <c r="K23" s="160">
        <f>'RUA 1'!K23</f>
        <v>84.78</v>
      </c>
    </row>
    <row r="24" spans="2:11">
      <c r="B24" s="524"/>
      <c r="C24" s="524"/>
      <c r="D24" s="524"/>
      <c r="E24" s="524"/>
      <c r="F24" s="524"/>
      <c r="G24" s="524"/>
      <c r="H24" s="524"/>
      <c r="I24" s="524"/>
    </row>
    <row r="26" spans="2:11" ht="15">
      <c r="B26" s="238" t="s">
        <v>127</v>
      </c>
      <c r="C26" s="238" t="s">
        <v>52</v>
      </c>
      <c r="D26" s="238" t="s">
        <v>143</v>
      </c>
      <c r="E26" s="523" t="s">
        <v>144</v>
      </c>
      <c r="F26" s="523"/>
      <c r="G26" s="523"/>
      <c r="H26" s="523"/>
      <c r="I26" s="365">
        <f>SUM(I27:I35)</f>
        <v>41252.019999999997</v>
      </c>
    </row>
    <row r="27" spans="2:11" ht="28.5">
      <c r="B27" s="176" t="s">
        <v>136</v>
      </c>
      <c r="C27" s="176">
        <v>72961</v>
      </c>
      <c r="D27" s="176" t="s">
        <v>146</v>
      </c>
      <c r="E27" s="360" t="s">
        <v>408</v>
      </c>
      <c r="F27" s="176" t="s">
        <v>85</v>
      </c>
      <c r="G27" s="361">
        <f>'MEMORIAL 4'!B35</f>
        <v>517.92999999999995</v>
      </c>
      <c r="H27" s="361">
        <f>ROUND(K27+(K27*$I$15),2)</f>
        <v>1.43</v>
      </c>
      <c r="I27" s="361">
        <f t="shared" ref="I27:I35" si="0">ROUND(G27*H27,2)</f>
        <v>740.64</v>
      </c>
      <c r="K27" s="160">
        <v>1.17</v>
      </c>
    </row>
    <row r="28" spans="2:11">
      <c r="B28" s="176" t="s">
        <v>149</v>
      </c>
      <c r="C28" s="380" t="s">
        <v>371</v>
      </c>
      <c r="D28" s="176" t="s">
        <v>147</v>
      </c>
      <c r="E28" s="360" t="s">
        <v>370</v>
      </c>
      <c r="F28" s="176" t="s">
        <v>85</v>
      </c>
      <c r="G28" s="361">
        <f>'MEMORIAL 4'!C43</f>
        <v>517.92999999999995</v>
      </c>
      <c r="H28" s="361">
        <f>ROUND(K28+(K28*$I$15),2)</f>
        <v>50.13</v>
      </c>
      <c r="I28" s="361">
        <f t="shared" si="0"/>
        <v>25963.83</v>
      </c>
      <c r="K28" s="160">
        <f>'RUA 1'!K28</f>
        <v>41.08</v>
      </c>
    </row>
    <row r="29" spans="2:11">
      <c r="B29" s="176" t="s">
        <v>149</v>
      </c>
      <c r="C29" s="176" t="s">
        <v>150</v>
      </c>
      <c r="D29" s="176" t="s">
        <v>151</v>
      </c>
      <c r="E29" s="362" t="s">
        <v>369</v>
      </c>
      <c r="F29" s="242" t="s">
        <v>148</v>
      </c>
      <c r="G29" s="363">
        <f>'MEMORIAL 4'!F53</f>
        <v>163.30000000000001</v>
      </c>
      <c r="H29" s="363">
        <f t="shared" ref="H29:H35" si="1">ROUND(K29+(K29*$I$15),2)</f>
        <v>15.49</v>
      </c>
      <c r="I29" s="363">
        <f t="shared" si="0"/>
        <v>2529.52</v>
      </c>
      <c r="K29" s="160">
        <f>'RUA 1'!K29</f>
        <v>12.69</v>
      </c>
    </row>
    <row r="30" spans="2:11" ht="28.5">
      <c r="B30" s="176" t="s">
        <v>149</v>
      </c>
      <c r="C30" s="176" t="s">
        <v>150</v>
      </c>
      <c r="D30" s="176" t="s">
        <v>153</v>
      </c>
      <c r="E30" s="360" t="s">
        <v>152</v>
      </c>
      <c r="F30" s="176" t="s">
        <v>148</v>
      </c>
      <c r="G30" s="361">
        <f>'MEMORIAL 4'!B60</f>
        <v>12</v>
      </c>
      <c r="H30" s="361">
        <f>ROUND(K30+(K30*$I$15),2)</f>
        <v>15.49</v>
      </c>
      <c r="I30" s="361">
        <f>ROUND(G30*H30,2)</f>
        <v>185.88</v>
      </c>
      <c r="K30" s="160">
        <f>'RUA 1'!K30</f>
        <v>12.69</v>
      </c>
    </row>
    <row r="31" spans="2:11" ht="42.75">
      <c r="B31" s="176" t="s">
        <v>136</v>
      </c>
      <c r="C31" s="176">
        <v>94993</v>
      </c>
      <c r="D31" s="176" t="s">
        <v>155</v>
      </c>
      <c r="E31" s="360" t="s">
        <v>154</v>
      </c>
      <c r="F31" s="176" t="s">
        <v>85</v>
      </c>
      <c r="G31" s="361">
        <f>'MEMORIAL 4'!N74</f>
        <v>102.44</v>
      </c>
      <c r="H31" s="361">
        <f>ROUND(K31+(K31*$I$15),2)</f>
        <v>61.73</v>
      </c>
      <c r="I31" s="361">
        <f>ROUND(G31*H31,2)</f>
        <v>6323.62</v>
      </c>
      <c r="K31" s="160">
        <f>'RUA 1'!K31</f>
        <v>50.59</v>
      </c>
    </row>
    <row r="32" spans="2:11" ht="42.75">
      <c r="B32" s="176" t="s">
        <v>145</v>
      </c>
      <c r="C32" s="380" t="s">
        <v>364</v>
      </c>
      <c r="D32" s="176" t="s">
        <v>157</v>
      </c>
      <c r="E32" s="360" t="s">
        <v>156</v>
      </c>
      <c r="F32" s="176" t="s">
        <v>102</v>
      </c>
      <c r="G32" s="361">
        <f>ROUND('MEMORIAL 4'!B80,2)</f>
        <v>4</v>
      </c>
      <c r="H32" s="361">
        <f t="shared" si="1"/>
        <v>677.88</v>
      </c>
      <c r="I32" s="361">
        <f t="shared" si="0"/>
        <v>2711.52</v>
      </c>
      <c r="K32" s="160">
        <f>COMP!K72</f>
        <v>555.5</v>
      </c>
    </row>
    <row r="33" spans="2:33" ht="57">
      <c r="B33" s="176" t="s">
        <v>145</v>
      </c>
      <c r="C33" s="380" t="s">
        <v>421</v>
      </c>
      <c r="D33" s="176" t="s">
        <v>159</v>
      </c>
      <c r="E33" s="360" t="s">
        <v>105</v>
      </c>
      <c r="F33" s="176" t="s">
        <v>85</v>
      </c>
      <c r="G33" s="361">
        <f>'MEMORIAL 4'!C99</f>
        <v>33.33</v>
      </c>
      <c r="H33" s="361">
        <f>ROUND(K33+(K33*$I$15),2)</f>
        <v>82.39</v>
      </c>
      <c r="I33" s="361">
        <f>ROUND(G33*H33,2)</f>
        <v>2746.06</v>
      </c>
      <c r="K33" s="160">
        <f>'RUA 1'!K33</f>
        <v>67.52</v>
      </c>
    </row>
    <row r="34" spans="2:33">
      <c r="B34" s="176" t="s">
        <v>158</v>
      </c>
      <c r="C34" s="176">
        <v>75390</v>
      </c>
      <c r="D34" s="176" t="s">
        <v>163</v>
      </c>
      <c r="E34" s="360" t="s">
        <v>160</v>
      </c>
      <c r="F34" s="176" t="s">
        <v>85</v>
      </c>
      <c r="G34" s="361">
        <f>ROUND('MEMORIAL 4'!B106,2)</f>
        <v>48.99</v>
      </c>
      <c r="H34" s="361">
        <f t="shared" si="1"/>
        <v>1.04</v>
      </c>
      <c r="I34" s="361">
        <f t="shared" si="0"/>
        <v>50.95</v>
      </c>
      <c r="K34" s="160">
        <f>'RUA 1'!K34</f>
        <v>0.85</v>
      </c>
    </row>
    <row r="35" spans="2:33" ht="28.5" hidden="1">
      <c r="B35" s="176" t="s">
        <v>161</v>
      </c>
      <c r="C35" s="364" t="s">
        <v>162</v>
      </c>
      <c r="D35" s="176" t="s">
        <v>365</v>
      </c>
      <c r="E35" s="362" t="s">
        <v>164</v>
      </c>
      <c r="F35" s="242" t="s">
        <v>85</v>
      </c>
      <c r="G35" s="361">
        <f>ROUND('MEMORIAL 4'!C121,2)</f>
        <v>0</v>
      </c>
      <c r="H35" s="361">
        <f t="shared" si="1"/>
        <v>317.27999999999997</v>
      </c>
      <c r="I35" s="361">
        <f t="shared" si="0"/>
        <v>0</v>
      </c>
      <c r="K35" s="160">
        <f>'RUA 1'!K35</f>
        <v>260</v>
      </c>
    </row>
    <row r="36" spans="2:33">
      <c r="B36" s="524"/>
      <c r="C36" s="524"/>
      <c r="D36" s="524"/>
      <c r="E36" s="524"/>
      <c r="F36" s="524"/>
      <c r="G36" s="524"/>
      <c r="H36" s="524"/>
      <c r="I36" s="524"/>
    </row>
    <row r="38" spans="2:33" s="197" customFormat="1" ht="15">
      <c r="B38" s="238" t="s">
        <v>127</v>
      </c>
      <c r="C38" s="238" t="s">
        <v>52</v>
      </c>
      <c r="D38" s="238" t="s">
        <v>165</v>
      </c>
      <c r="E38" s="523" t="s">
        <v>166</v>
      </c>
      <c r="F38" s="523"/>
      <c r="G38" s="523"/>
      <c r="H38" s="523"/>
      <c r="I38" s="239">
        <f>SUM(I39)</f>
        <v>201.99</v>
      </c>
      <c r="K38" s="204"/>
      <c r="L38" s="20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40"/>
      <c r="AD38" s="224"/>
      <c r="AE38" s="224"/>
      <c r="AF38" s="240"/>
      <c r="AG38" s="240"/>
    </row>
    <row r="39" spans="2:33">
      <c r="B39" s="176" t="s">
        <v>158</v>
      </c>
      <c r="C39" s="176">
        <v>84523</v>
      </c>
      <c r="D39" s="176" t="s">
        <v>167</v>
      </c>
      <c r="E39" s="243" t="s">
        <v>168</v>
      </c>
      <c r="F39" s="176" t="s">
        <v>85</v>
      </c>
      <c r="G39" s="176">
        <f>'MEMORIAL 4'!B129</f>
        <v>517.92999999999995</v>
      </c>
      <c r="H39" s="244">
        <f>ROUND(K39+(K39*$I$15),2)</f>
        <v>0.39</v>
      </c>
      <c r="I39" s="382">
        <f>ROUND(G39*H39,2)</f>
        <v>201.99</v>
      </c>
      <c r="K39" s="160">
        <f>'RUA 1'!K51</f>
        <v>0.32</v>
      </c>
    </row>
    <row r="40" spans="2:33">
      <c r="B40" s="524"/>
      <c r="C40" s="524"/>
      <c r="D40" s="524"/>
      <c r="E40" s="524"/>
      <c r="F40" s="524"/>
      <c r="G40" s="524"/>
      <c r="H40" s="524"/>
      <c r="I40" s="524"/>
    </row>
    <row r="42" spans="2:33">
      <c r="B42" s="518" t="s">
        <v>133</v>
      </c>
      <c r="C42" s="518"/>
      <c r="D42" s="518"/>
      <c r="E42" s="518"/>
      <c r="F42" s="518"/>
      <c r="G42" s="518"/>
      <c r="H42" s="518"/>
      <c r="I42" s="519">
        <f>I26+I20+I38-0.01</f>
        <v>41842.199999999997</v>
      </c>
    </row>
    <row r="43" spans="2:33">
      <c r="B43" s="518"/>
      <c r="C43" s="518"/>
      <c r="D43" s="518"/>
      <c r="E43" s="518"/>
      <c r="F43" s="518"/>
      <c r="G43" s="518"/>
      <c r="H43" s="518"/>
      <c r="I43" s="519"/>
    </row>
  </sheetData>
  <mergeCells count="28">
    <mergeCell ref="G17:G18"/>
    <mergeCell ref="B40:I40"/>
    <mergeCell ref="B42:H43"/>
    <mergeCell ref="I42:I43"/>
    <mergeCell ref="H17:I17"/>
    <mergeCell ref="E20:H20"/>
    <mergeCell ref="B24:I24"/>
    <mergeCell ref="E26:H26"/>
    <mergeCell ref="B36:I36"/>
    <mergeCell ref="E38:H38"/>
    <mergeCell ref="B17:B18"/>
    <mergeCell ref="C17:C18"/>
    <mergeCell ref="D17:D18"/>
    <mergeCell ref="E17:E18"/>
    <mergeCell ref="F17:F18"/>
    <mergeCell ref="B15:C15"/>
    <mergeCell ref="D15:G15"/>
    <mergeCell ref="B1:I1"/>
    <mergeCell ref="B2:I2"/>
    <mergeCell ref="B3:I3"/>
    <mergeCell ref="B4:I4"/>
    <mergeCell ref="B5:I5"/>
    <mergeCell ref="B6:I6"/>
    <mergeCell ref="B7:I7"/>
    <mergeCell ref="B9:I9"/>
    <mergeCell ref="B10:I10"/>
    <mergeCell ref="C12:I12"/>
    <mergeCell ref="C13:I13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29</vt:i4>
      </vt:variant>
    </vt:vector>
  </HeadingPairs>
  <TitlesOfParts>
    <vt:vector size="56" baseType="lpstr">
      <vt:lpstr>BDI</vt:lpstr>
      <vt:lpstr>COMP</vt:lpstr>
      <vt:lpstr>RUA 1</vt:lpstr>
      <vt:lpstr>MEMORIAL 1</vt:lpstr>
      <vt:lpstr>RUA 2</vt:lpstr>
      <vt:lpstr>MEMORIAL 2</vt:lpstr>
      <vt:lpstr>RUA 3</vt:lpstr>
      <vt:lpstr>MEMORIAL 3</vt:lpstr>
      <vt:lpstr>RUA 4</vt:lpstr>
      <vt:lpstr>MEMORIAL 4</vt:lpstr>
      <vt:lpstr>RUA 5</vt:lpstr>
      <vt:lpstr>MEMORIAL 5</vt:lpstr>
      <vt:lpstr>RUA 6</vt:lpstr>
      <vt:lpstr>MEMORIAL 6</vt:lpstr>
      <vt:lpstr>RUA 7</vt:lpstr>
      <vt:lpstr>MEMORIAL 7</vt:lpstr>
      <vt:lpstr>RUA 8</vt:lpstr>
      <vt:lpstr>MEMORIAL 8</vt:lpstr>
      <vt:lpstr>RUA 9</vt:lpstr>
      <vt:lpstr>MEMORIAL 9</vt:lpstr>
      <vt:lpstr>RUA 10</vt:lpstr>
      <vt:lpstr>MEMORIAL 10</vt:lpstr>
      <vt:lpstr>AJUSTE_BDI</vt:lpstr>
      <vt:lpstr>COTAÇÃO</vt:lpstr>
      <vt:lpstr>RESUMO</vt:lpstr>
      <vt:lpstr>CRONOGRAMA</vt:lpstr>
      <vt:lpstr>QCI </vt:lpstr>
      <vt:lpstr>AJUSTE_BDI!Area_de_impressao</vt:lpstr>
      <vt:lpstr>BDI!Area_de_impressao</vt:lpstr>
      <vt:lpstr>COMP!Area_de_impressao</vt:lpstr>
      <vt:lpstr>COTAÇÃO!Area_de_impressao</vt:lpstr>
      <vt:lpstr>CRONOGRAMA!Area_de_impressao</vt:lpstr>
      <vt:lpstr>'MEMORIAL 1'!Area_de_impressao</vt:lpstr>
      <vt:lpstr>'MEMORIAL 10'!Area_de_impressao</vt:lpstr>
      <vt:lpstr>'MEMORIAL 2'!Area_de_impressao</vt:lpstr>
      <vt:lpstr>'MEMORIAL 3'!Area_de_impressao</vt:lpstr>
      <vt:lpstr>'MEMORIAL 4'!Area_de_impressao</vt:lpstr>
      <vt:lpstr>'MEMORIAL 5'!Area_de_impressao</vt:lpstr>
      <vt:lpstr>'MEMORIAL 6'!Area_de_impressao</vt:lpstr>
      <vt:lpstr>'MEMORIAL 7'!Area_de_impressao</vt:lpstr>
      <vt:lpstr>'MEMORIAL 8'!Area_de_impressao</vt:lpstr>
      <vt:lpstr>'MEMORIAL 9'!Area_de_impressao</vt:lpstr>
      <vt:lpstr>'QCI '!Area_de_impressao</vt:lpstr>
      <vt:lpstr>RESUMO!Area_de_impressao</vt:lpstr>
      <vt:lpstr>'RUA 1'!Area_de_impressao</vt:lpstr>
      <vt:lpstr>'RUA 10'!Area_de_impressao</vt:lpstr>
      <vt:lpstr>'RUA 2'!Area_de_impressao</vt:lpstr>
      <vt:lpstr>'RUA 3'!Area_de_impressao</vt:lpstr>
      <vt:lpstr>'RUA 4'!Area_de_impressao</vt:lpstr>
      <vt:lpstr>'RUA 5'!Area_de_impressao</vt:lpstr>
      <vt:lpstr>'RUA 6'!Area_de_impressao</vt:lpstr>
      <vt:lpstr>'RUA 7'!Area_de_impressao</vt:lpstr>
      <vt:lpstr>'RUA 8'!Area_de_impressao</vt:lpstr>
      <vt:lpstr>'RUA 9'!Area_de_impressao</vt:lpstr>
      <vt:lpstr>CRONOGRAMA!Titulos_de_impressao</vt:lpstr>
      <vt:lpstr>RESUMO!Titulos_de_impressao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Hércules Dutra</dc:creator>
  <cp:lastModifiedBy>Home</cp:lastModifiedBy>
  <cp:revision/>
  <cp:lastPrinted>2019-03-14T13:22:16Z</cp:lastPrinted>
  <dcterms:created xsi:type="dcterms:W3CDTF">2013-03-22T16:06:15Z</dcterms:created>
  <dcterms:modified xsi:type="dcterms:W3CDTF">2019-04-05T15:33:29Z</dcterms:modified>
</cp:coreProperties>
</file>